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D:\Báo cáo BOT\2024\"/>
    </mc:Choice>
  </mc:AlternateContent>
  <xr:revisionPtr revIDLastSave="0" documentId="13_ncr:1_{013B3774-46BF-4448-8A83-B6B3BC67C3F4}" xr6:coauthVersionLast="47" xr6:coauthVersionMax="47" xr10:uidLastSave="{00000000-0000-0000-0000-000000000000}"/>
  <bookViews>
    <workbookView xWindow="-120" yWindow="-120" windowWidth="29040" windowHeight="16440" xr2:uid="{BA011D4D-4C26-4AC1-BB3E-26B003B10B4E}"/>
  </bookViews>
  <sheets>
    <sheet name="Năm 2024" sheetId="1" r:id="rId1"/>
  </sheets>
  <definedNames>
    <definedName name="_xlnm._FilterDatabase" localSheetId="0" hidden="1">'Năm 2024'!$A$4:$AZ$202</definedName>
    <definedName name="_xlnm.Print_Area" localSheetId="0">'Năm 2024'!$A$1:$AM$207</definedName>
    <definedName name="_xlnm.Print_Titles" localSheetId="0">'Năm 2024'!$4:$7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1" l="1"/>
  <c r="W206" i="1"/>
  <c r="V8" i="1"/>
  <c r="AO206" i="1"/>
  <c r="AM206" i="1"/>
  <c r="AL206" i="1"/>
  <c r="AP206" i="1" s="1"/>
  <c r="AK206" i="1"/>
  <c r="AJ206" i="1"/>
  <c r="AI206" i="1"/>
  <c r="AH206" i="1"/>
  <c r="AG206" i="1"/>
  <c r="AF206" i="1"/>
  <c r="AE206" i="1"/>
  <c r="AD206" i="1"/>
  <c r="AC206" i="1"/>
  <c r="AB206" i="1"/>
  <c r="AA206" i="1"/>
  <c r="Z206" i="1"/>
  <c r="Y206" i="1"/>
  <c r="X206" i="1"/>
  <c r="V206" i="1"/>
  <c r="U206" i="1"/>
  <c r="T206" i="1"/>
  <c r="S206" i="1"/>
  <c r="R206" i="1"/>
  <c r="Q206" i="1"/>
  <c r="P206" i="1"/>
  <c r="O206" i="1"/>
  <c r="N206" i="1"/>
  <c r="M206" i="1"/>
  <c r="L206" i="1"/>
  <c r="K206" i="1"/>
  <c r="J206" i="1"/>
  <c r="I206" i="1"/>
  <c r="H206" i="1"/>
  <c r="G206" i="1"/>
  <c r="F206" i="1"/>
  <c r="AK205" i="1" l="1"/>
  <c r="AJ205" i="1"/>
  <c r="AC205" i="1"/>
  <c r="AB205" i="1"/>
  <c r="U205" i="1"/>
  <c r="T205" i="1"/>
  <c r="M205" i="1"/>
  <c r="L205" i="1"/>
  <c r="AL205" i="1" s="1"/>
  <c r="AK204" i="1"/>
  <c r="AJ204" i="1"/>
  <c r="AC204" i="1"/>
  <c r="AB204" i="1"/>
  <c r="U204" i="1"/>
  <c r="T204" i="1"/>
  <c r="M204" i="1"/>
  <c r="L204" i="1"/>
  <c r="W80" i="1"/>
  <c r="W100" i="1"/>
  <c r="W99" i="1"/>
  <c r="V20" i="1"/>
  <c r="V19" i="1"/>
  <c r="AC88" i="1"/>
  <c r="AC89" i="1"/>
  <c r="AB88" i="1"/>
  <c r="AB89" i="1"/>
  <c r="W140" i="1"/>
  <c r="AC120" i="1"/>
  <c r="AC119" i="1"/>
  <c r="AC118" i="1"/>
  <c r="AC117" i="1"/>
  <c r="U120" i="1"/>
  <c r="U119" i="1"/>
  <c r="U118" i="1"/>
  <c r="U117" i="1"/>
  <c r="W59" i="1"/>
  <c r="W83" i="1"/>
  <c r="W82" i="1"/>
  <c r="V83" i="1"/>
  <c r="V82" i="1"/>
  <c r="W10" i="1"/>
  <c r="W11" i="1"/>
  <c r="V11" i="1"/>
  <c r="V10" i="1"/>
  <c r="W148" i="1"/>
  <c r="W147" i="1"/>
  <c r="W65" i="1"/>
  <c r="W64" i="1"/>
  <c r="W68" i="1"/>
  <c r="V68" i="1"/>
  <c r="W67" i="1"/>
  <c r="W66" i="1"/>
  <c r="W63" i="1"/>
  <c r="W62" i="1"/>
  <c r="T24" i="1"/>
  <c r="T25" i="1"/>
  <c r="U22" i="1"/>
  <c r="AC77" i="1"/>
  <c r="AC76" i="1"/>
  <c r="AB77" i="1"/>
  <c r="AL204" i="1" l="1"/>
  <c r="AM204" i="1"/>
  <c r="AM205" i="1"/>
  <c r="V54" i="1"/>
  <c r="V53" i="1"/>
  <c r="V129" i="1"/>
  <c r="W106" i="1"/>
  <c r="W107" i="1"/>
  <c r="V107" i="1"/>
  <c r="AB107" i="1" s="1"/>
  <c r="W57" i="1"/>
  <c r="W56" i="1"/>
  <c r="AC56" i="1" s="1"/>
  <c r="W71" i="1"/>
  <c r="W70" i="1"/>
  <c r="S65" i="1"/>
  <c r="S64" i="1"/>
  <c r="S67" i="1"/>
  <c r="S66" i="1"/>
  <c r="S62" i="1"/>
  <c r="S63" i="1"/>
  <c r="T63" i="1"/>
  <c r="AO202" i="1"/>
  <c r="AI202" i="1"/>
  <c r="AH202" i="1"/>
  <c r="AG202" i="1"/>
  <c r="AF202" i="1"/>
  <c r="AE202" i="1"/>
  <c r="AD202" i="1"/>
  <c r="AA202" i="1"/>
  <c r="Z202" i="1"/>
  <c r="Y202" i="1"/>
  <c r="X202" i="1"/>
  <c r="W202" i="1"/>
  <c r="V202" i="1"/>
  <c r="S202" i="1"/>
  <c r="R202" i="1"/>
  <c r="Q202" i="1"/>
  <c r="P202" i="1"/>
  <c r="O202" i="1"/>
  <c r="N202" i="1"/>
  <c r="K202" i="1"/>
  <c r="J202" i="1"/>
  <c r="I202" i="1"/>
  <c r="H202" i="1"/>
  <c r="G202" i="1"/>
  <c r="F202" i="1"/>
  <c r="AK201" i="1"/>
  <c r="AJ201" i="1"/>
  <c r="AC201" i="1"/>
  <c r="AB201" i="1"/>
  <c r="U201" i="1"/>
  <c r="T201" i="1"/>
  <c r="M201" i="1"/>
  <c r="L201" i="1"/>
  <c r="AK200" i="1"/>
  <c r="AJ200" i="1"/>
  <c r="AC200" i="1"/>
  <c r="AB200" i="1"/>
  <c r="U200" i="1"/>
  <c r="T200" i="1"/>
  <c r="M200" i="1"/>
  <c r="L200" i="1"/>
  <c r="AK199" i="1"/>
  <c r="AJ199" i="1"/>
  <c r="AC199" i="1"/>
  <c r="AB199" i="1"/>
  <c r="U199" i="1"/>
  <c r="T199" i="1"/>
  <c r="M199" i="1"/>
  <c r="L199" i="1"/>
  <c r="AK198" i="1"/>
  <c r="AK202" i="1" s="1"/>
  <c r="AJ198" i="1"/>
  <c r="AJ202" i="1" s="1"/>
  <c r="AC198" i="1"/>
  <c r="AC202" i="1" s="1"/>
  <c r="AB198" i="1"/>
  <c r="AB202" i="1" s="1"/>
  <c r="U198" i="1"/>
  <c r="T198" i="1"/>
  <c r="M198" i="1"/>
  <c r="L198" i="1"/>
  <c r="AO197" i="1"/>
  <c r="AI197" i="1"/>
  <c r="AH197" i="1"/>
  <c r="AG197" i="1"/>
  <c r="AF197" i="1"/>
  <c r="AE197" i="1"/>
  <c r="AD197" i="1"/>
  <c r="AA197" i="1"/>
  <c r="Z197" i="1"/>
  <c r="Y197" i="1"/>
  <c r="X197" i="1"/>
  <c r="W197" i="1"/>
  <c r="V197" i="1"/>
  <c r="S197" i="1"/>
  <c r="R197" i="1"/>
  <c r="Q197" i="1"/>
  <c r="P197" i="1"/>
  <c r="O197" i="1"/>
  <c r="N197" i="1"/>
  <c r="K197" i="1"/>
  <c r="J197" i="1"/>
  <c r="I197" i="1"/>
  <c r="H197" i="1"/>
  <c r="G197" i="1"/>
  <c r="F197" i="1"/>
  <c r="AK196" i="1"/>
  <c r="AJ196" i="1"/>
  <c r="AC196" i="1"/>
  <c r="AB196" i="1"/>
  <c r="U196" i="1"/>
  <c r="T196" i="1"/>
  <c r="M196" i="1"/>
  <c r="L196" i="1"/>
  <c r="AL196" i="1" s="1"/>
  <c r="AK195" i="1"/>
  <c r="AK197" i="1" s="1"/>
  <c r="AJ195" i="1"/>
  <c r="AJ197" i="1" s="1"/>
  <c r="AC195" i="1"/>
  <c r="AC197" i="1" s="1"/>
  <c r="AB195" i="1"/>
  <c r="AB197" i="1" s="1"/>
  <c r="U195" i="1"/>
  <c r="U197" i="1" s="1"/>
  <c r="T195" i="1"/>
  <c r="T197" i="1" s="1"/>
  <c r="M195" i="1"/>
  <c r="M197" i="1" s="1"/>
  <c r="L195" i="1"/>
  <c r="L197" i="1" s="1"/>
  <c r="AO193" i="1"/>
  <c r="AI193" i="1"/>
  <c r="AH193" i="1"/>
  <c r="AG193" i="1"/>
  <c r="AF193" i="1"/>
  <c r="AE193" i="1"/>
  <c r="AD193" i="1"/>
  <c r="AA193" i="1"/>
  <c r="Z193" i="1"/>
  <c r="Y193" i="1"/>
  <c r="X193" i="1"/>
  <c r="W193" i="1"/>
  <c r="V193" i="1"/>
  <c r="S193" i="1"/>
  <c r="R193" i="1"/>
  <c r="Q193" i="1"/>
  <c r="P193" i="1"/>
  <c r="O193" i="1"/>
  <c r="N193" i="1"/>
  <c r="K193" i="1"/>
  <c r="J193" i="1"/>
  <c r="I193" i="1"/>
  <c r="H193" i="1"/>
  <c r="G193" i="1"/>
  <c r="F193" i="1"/>
  <c r="AK192" i="1"/>
  <c r="AJ192" i="1"/>
  <c r="AC192" i="1"/>
  <c r="AB192" i="1"/>
  <c r="U192" i="1"/>
  <c r="T192" i="1"/>
  <c r="M192" i="1"/>
  <c r="L192" i="1"/>
  <c r="AL192" i="1" s="1"/>
  <c r="AK191" i="1"/>
  <c r="AJ191" i="1"/>
  <c r="AJ193" i="1" s="1"/>
  <c r="AC191" i="1"/>
  <c r="AB191" i="1"/>
  <c r="U191" i="1"/>
  <c r="U193" i="1" s="1"/>
  <c r="T191" i="1"/>
  <c r="T193" i="1" s="1"/>
  <c r="M191" i="1"/>
  <c r="L191" i="1"/>
  <c r="B191" i="1"/>
  <c r="AO190" i="1"/>
  <c r="AI190" i="1"/>
  <c r="AH190" i="1"/>
  <c r="AG190" i="1"/>
  <c r="AF190" i="1"/>
  <c r="AE190" i="1"/>
  <c r="AD190" i="1"/>
  <c r="AA190" i="1"/>
  <c r="Z190" i="1"/>
  <c r="Y190" i="1"/>
  <c r="X190" i="1"/>
  <c r="W190" i="1"/>
  <c r="V190" i="1"/>
  <c r="S190" i="1"/>
  <c r="R190" i="1"/>
  <c r="Q190" i="1"/>
  <c r="P190" i="1"/>
  <c r="O190" i="1"/>
  <c r="N190" i="1"/>
  <c r="K190" i="1"/>
  <c r="J190" i="1"/>
  <c r="I190" i="1"/>
  <c r="H190" i="1"/>
  <c r="G190" i="1"/>
  <c r="F190" i="1"/>
  <c r="AK189" i="1"/>
  <c r="AJ189" i="1"/>
  <c r="AC189" i="1"/>
  <c r="AB189" i="1"/>
  <c r="U189" i="1"/>
  <c r="T189" i="1"/>
  <c r="M189" i="1"/>
  <c r="L189" i="1"/>
  <c r="AL189" i="1" s="1"/>
  <c r="AK188" i="1"/>
  <c r="AJ188" i="1"/>
  <c r="AC188" i="1"/>
  <c r="AC190" i="1" s="1"/>
  <c r="AB188" i="1"/>
  <c r="AB190" i="1" s="1"/>
  <c r="U188" i="1"/>
  <c r="U190" i="1" s="1"/>
  <c r="T188" i="1"/>
  <c r="T190" i="1" s="1"/>
  <c r="M188" i="1"/>
  <c r="M190" i="1" s="1"/>
  <c r="L188" i="1"/>
  <c r="L190" i="1" s="1"/>
  <c r="AO186" i="1"/>
  <c r="AI186" i="1"/>
  <c r="AH186" i="1"/>
  <c r="AG186" i="1"/>
  <c r="AF186" i="1"/>
  <c r="AE186" i="1"/>
  <c r="AD186" i="1"/>
  <c r="AA186" i="1"/>
  <c r="Z186" i="1"/>
  <c r="Y186" i="1"/>
  <c r="X186" i="1"/>
  <c r="W186" i="1"/>
  <c r="V186" i="1"/>
  <c r="S186" i="1"/>
  <c r="R186" i="1"/>
  <c r="Q186" i="1"/>
  <c r="P186" i="1"/>
  <c r="O186" i="1"/>
  <c r="N186" i="1"/>
  <c r="K186" i="1"/>
  <c r="J186" i="1"/>
  <c r="I186" i="1"/>
  <c r="H186" i="1"/>
  <c r="G186" i="1"/>
  <c r="F186" i="1"/>
  <c r="AK185" i="1"/>
  <c r="AJ185" i="1"/>
  <c r="AC185" i="1"/>
  <c r="AB185" i="1"/>
  <c r="U185" i="1"/>
  <c r="T185" i="1"/>
  <c r="M185" i="1"/>
  <c r="AM185" i="1" s="1"/>
  <c r="L185" i="1"/>
  <c r="AL185" i="1" s="1"/>
  <c r="AK184" i="1"/>
  <c r="AJ184" i="1"/>
  <c r="AC184" i="1"/>
  <c r="AB184" i="1"/>
  <c r="U184" i="1"/>
  <c r="T184" i="1"/>
  <c r="M184" i="1"/>
  <c r="L184" i="1"/>
  <c r="AK183" i="1"/>
  <c r="AK186" i="1" s="1"/>
  <c r="AJ183" i="1"/>
  <c r="AJ186" i="1" s="1"/>
  <c r="AC183" i="1"/>
  <c r="AC186" i="1" s="1"/>
  <c r="AB183" i="1"/>
  <c r="U183" i="1"/>
  <c r="T183" i="1"/>
  <c r="M183" i="1"/>
  <c r="L183" i="1"/>
  <c r="L186" i="1" s="1"/>
  <c r="B183" i="1"/>
  <c r="B184" i="1" s="1"/>
  <c r="B185" i="1" s="1"/>
  <c r="AO181" i="1"/>
  <c r="AI181" i="1"/>
  <c r="AH181" i="1"/>
  <c r="AG181" i="1"/>
  <c r="AF181" i="1"/>
  <c r="AE181" i="1"/>
  <c r="AD181" i="1"/>
  <c r="AA181" i="1"/>
  <c r="Z181" i="1"/>
  <c r="Y181" i="1"/>
  <c r="X181" i="1"/>
  <c r="W181" i="1"/>
  <c r="V181" i="1"/>
  <c r="S181" i="1"/>
  <c r="R181" i="1"/>
  <c r="Q181" i="1"/>
  <c r="P181" i="1"/>
  <c r="O181" i="1"/>
  <c r="N181" i="1"/>
  <c r="K181" i="1"/>
  <c r="J181" i="1"/>
  <c r="I181" i="1"/>
  <c r="H181" i="1"/>
  <c r="G181" i="1"/>
  <c r="F181" i="1"/>
  <c r="AK180" i="1"/>
  <c r="AJ180" i="1"/>
  <c r="AC180" i="1"/>
  <c r="AB180" i="1"/>
  <c r="U180" i="1"/>
  <c r="T180" i="1"/>
  <c r="M180" i="1"/>
  <c r="L180" i="1"/>
  <c r="AK179" i="1"/>
  <c r="AJ179" i="1"/>
  <c r="AC179" i="1"/>
  <c r="AC181" i="1" s="1"/>
  <c r="AB179" i="1"/>
  <c r="AB181" i="1" s="1"/>
  <c r="U179" i="1"/>
  <c r="U181" i="1" s="1"/>
  <c r="T179" i="1"/>
  <c r="T181" i="1" s="1"/>
  <c r="M179" i="1"/>
  <c r="M181" i="1" s="1"/>
  <c r="L179" i="1"/>
  <c r="L181" i="1" s="1"/>
  <c r="AO177" i="1"/>
  <c r="AJ177" i="1"/>
  <c r="AI177" i="1"/>
  <c r="AH177" i="1"/>
  <c r="AG177" i="1"/>
  <c r="AF177" i="1"/>
  <c r="AE177" i="1"/>
  <c r="AD177" i="1"/>
  <c r="AA177" i="1"/>
  <c r="Z177" i="1"/>
  <c r="Y177" i="1"/>
  <c r="X177" i="1"/>
  <c r="W177" i="1"/>
  <c r="V177" i="1"/>
  <c r="S177" i="1"/>
  <c r="R177" i="1"/>
  <c r="Q177" i="1"/>
  <c r="P177" i="1"/>
  <c r="O177" i="1"/>
  <c r="N177" i="1"/>
  <c r="K177" i="1"/>
  <c r="J177" i="1"/>
  <c r="I177" i="1"/>
  <c r="H177" i="1"/>
  <c r="G177" i="1"/>
  <c r="F177" i="1"/>
  <c r="AK176" i="1"/>
  <c r="AJ176" i="1"/>
  <c r="AC176" i="1"/>
  <c r="AB176" i="1"/>
  <c r="U176" i="1"/>
  <c r="T176" i="1"/>
  <c r="M176" i="1"/>
  <c r="AM176" i="1" s="1"/>
  <c r="L176" i="1"/>
  <c r="AK175" i="1"/>
  <c r="AK177" i="1" s="1"/>
  <c r="AJ175" i="1"/>
  <c r="AC175" i="1"/>
  <c r="AC177" i="1" s="1"/>
  <c r="AB175" i="1"/>
  <c r="U175" i="1"/>
  <c r="U177" i="1" s="1"/>
  <c r="T175" i="1"/>
  <c r="T177" i="1" s="1"/>
  <c r="M175" i="1"/>
  <c r="M177" i="1" s="1"/>
  <c r="L175" i="1"/>
  <c r="L177" i="1" s="1"/>
  <c r="AO173" i="1"/>
  <c r="AI173" i="1"/>
  <c r="AH173" i="1"/>
  <c r="AG173" i="1"/>
  <c r="AF173" i="1"/>
  <c r="AE173" i="1"/>
  <c r="AD173" i="1"/>
  <c r="AA173" i="1"/>
  <c r="Z173" i="1"/>
  <c r="Y173" i="1"/>
  <c r="X173" i="1"/>
  <c r="W173" i="1"/>
  <c r="V173" i="1"/>
  <c r="U173" i="1"/>
  <c r="T173" i="1"/>
  <c r="S173" i="1"/>
  <c r="R173" i="1"/>
  <c r="Q173" i="1"/>
  <c r="P173" i="1"/>
  <c r="O173" i="1"/>
  <c r="N173" i="1"/>
  <c r="K173" i="1"/>
  <c r="J173" i="1"/>
  <c r="I173" i="1"/>
  <c r="H173" i="1"/>
  <c r="G173" i="1"/>
  <c r="F173" i="1"/>
  <c r="AK172" i="1"/>
  <c r="AJ172" i="1"/>
  <c r="AC172" i="1"/>
  <c r="AB172" i="1"/>
  <c r="U172" i="1"/>
  <c r="T172" i="1"/>
  <c r="M172" i="1"/>
  <c r="AM172" i="1" s="1"/>
  <c r="L172" i="1"/>
  <c r="AL172" i="1" s="1"/>
  <c r="AK171" i="1"/>
  <c r="AJ171" i="1"/>
  <c r="AJ173" i="1" s="1"/>
  <c r="AC171" i="1"/>
  <c r="AC173" i="1" s="1"/>
  <c r="AB171" i="1"/>
  <c r="AB173" i="1" s="1"/>
  <c r="U171" i="1"/>
  <c r="T171" i="1"/>
  <c r="M171" i="1"/>
  <c r="M173" i="1" s="1"/>
  <c r="L171" i="1"/>
  <c r="AL171" i="1" s="1"/>
  <c r="AL173" i="1" s="1"/>
  <c r="AP173" i="1" s="1"/>
  <c r="AO170" i="1"/>
  <c r="AI170" i="1"/>
  <c r="AH170" i="1"/>
  <c r="AG170" i="1"/>
  <c r="AF170" i="1"/>
  <c r="AE170" i="1"/>
  <c r="AD170" i="1"/>
  <c r="AA170" i="1"/>
  <c r="Z170" i="1"/>
  <c r="Y170" i="1"/>
  <c r="X170" i="1"/>
  <c r="W170" i="1"/>
  <c r="V170" i="1"/>
  <c r="S170" i="1"/>
  <c r="R170" i="1"/>
  <c r="Q170" i="1"/>
  <c r="P170" i="1"/>
  <c r="O170" i="1"/>
  <c r="N170" i="1"/>
  <c r="K170" i="1"/>
  <c r="J170" i="1"/>
  <c r="I170" i="1"/>
  <c r="H170" i="1"/>
  <c r="G170" i="1"/>
  <c r="AK169" i="1"/>
  <c r="AJ169" i="1"/>
  <c r="AC169" i="1"/>
  <c r="AB169" i="1"/>
  <c r="U169" i="1"/>
  <c r="T169" i="1"/>
  <c r="M169" i="1"/>
  <c r="F169" i="1"/>
  <c r="AK168" i="1"/>
  <c r="AK170" i="1" s="1"/>
  <c r="AJ168" i="1"/>
  <c r="AJ170" i="1" s="1"/>
  <c r="AC168" i="1"/>
  <c r="AC170" i="1" s="1"/>
  <c r="AB168" i="1"/>
  <c r="AB170" i="1" s="1"/>
  <c r="U168" i="1"/>
  <c r="T168" i="1"/>
  <c r="T170" i="1" s="1"/>
  <c r="M168" i="1"/>
  <c r="L168" i="1"/>
  <c r="AO166" i="1"/>
  <c r="AI166" i="1"/>
  <c r="AH166" i="1"/>
  <c r="AG166" i="1"/>
  <c r="AF166" i="1"/>
  <c r="AE166" i="1"/>
  <c r="AD166" i="1"/>
  <c r="AA166" i="1"/>
  <c r="Z166" i="1"/>
  <c r="Y166" i="1"/>
  <c r="X166" i="1"/>
  <c r="W166" i="1"/>
  <c r="V166" i="1"/>
  <c r="R166" i="1"/>
  <c r="P166" i="1"/>
  <c r="O166" i="1"/>
  <c r="N166" i="1"/>
  <c r="K166" i="1"/>
  <c r="J166" i="1"/>
  <c r="I166" i="1"/>
  <c r="H166" i="1"/>
  <c r="G166" i="1"/>
  <c r="F166" i="1"/>
  <c r="AK165" i="1"/>
  <c r="AJ165" i="1"/>
  <c r="AC165" i="1"/>
  <c r="AB165" i="1"/>
  <c r="T165" i="1"/>
  <c r="S165" i="1"/>
  <c r="S166" i="1" s="1"/>
  <c r="Q165" i="1"/>
  <c r="U165" i="1" s="1"/>
  <c r="M165" i="1"/>
  <c r="L165" i="1"/>
  <c r="AK164" i="1"/>
  <c r="AK166" i="1" s="1"/>
  <c r="AJ164" i="1"/>
  <c r="AC164" i="1"/>
  <c r="AB164" i="1"/>
  <c r="U164" i="1"/>
  <c r="T164" i="1"/>
  <c r="T166" i="1" s="1"/>
  <c r="M164" i="1"/>
  <c r="M166" i="1" s="1"/>
  <c r="L164" i="1"/>
  <c r="L166" i="1" s="1"/>
  <c r="AO162" i="1"/>
  <c r="AJ162" i="1"/>
  <c r="AI162" i="1"/>
  <c r="AH162" i="1"/>
  <c r="AG162" i="1"/>
  <c r="AF162" i="1"/>
  <c r="AE162" i="1"/>
  <c r="AD162" i="1"/>
  <c r="AA162" i="1"/>
  <c r="Z162" i="1"/>
  <c r="Y162" i="1"/>
  <c r="X162" i="1"/>
  <c r="W162" i="1"/>
  <c r="V162" i="1"/>
  <c r="S162" i="1"/>
  <c r="R162" i="1"/>
  <c r="Q162" i="1"/>
  <c r="P162" i="1"/>
  <c r="O162" i="1"/>
  <c r="N162" i="1"/>
  <c r="K162" i="1"/>
  <c r="J162" i="1"/>
  <c r="I162" i="1"/>
  <c r="H162" i="1"/>
  <c r="G162" i="1"/>
  <c r="F162" i="1"/>
  <c r="AK161" i="1"/>
  <c r="AJ161" i="1"/>
  <c r="AC161" i="1"/>
  <c r="AB161" i="1"/>
  <c r="U161" i="1"/>
  <c r="T161" i="1"/>
  <c r="M161" i="1"/>
  <c r="L161" i="1"/>
  <c r="AK160" i="1"/>
  <c r="AK162" i="1" s="1"/>
  <c r="AJ160" i="1"/>
  <c r="AC160" i="1"/>
  <c r="AC162" i="1" s="1"/>
  <c r="AB160" i="1"/>
  <c r="AB162" i="1" s="1"/>
  <c r="U160" i="1"/>
  <c r="U162" i="1" s="1"/>
  <c r="T160" i="1"/>
  <c r="T162" i="1" s="1"/>
  <c r="M160" i="1"/>
  <c r="L160" i="1"/>
  <c r="AO158" i="1"/>
  <c r="AI158" i="1"/>
  <c r="AH158" i="1"/>
  <c r="AG158" i="1"/>
  <c r="AF158" i="1"/>
  <c r="AE158" i="1"/>
  <c r="AD158" i="1"/>
  <c r="AA158" i="1"/>
  <c r="Z158" i="1"/>
  <c r="Y158" i="1"/>
  <c r="X158" i="1"/>
  <c r="W158" i="1"/>
  <c r="V158" i="1"/>
  <c r="S158" i="1"/>
  <c r="R158" i="1"/>
  <c r="Q158" i="1"/>
  <c r="P158" i="1"/>
  <c r="O158" i="1"/>
  <c r="N158" i="1"/>
  <c r="K158" i="1"/>
  <c r="J158" i="1"/>
  <c r="I158" i="1"/>
  <c r="H158" i="1"/>
  <c r="G158" i="1"/>
  <c r="F158" i="1"/>
  <c r="AK157" i="1"/>
  <c r="AJ157" i="1"/>
  <c r="AC157" i="1"/>
  <c r="AB157" i="1"/>
  <c r="U157" i="1"/>
  <c r="T157" i="1"/>
  <c r="M157" i="1"/>
  <c r="L157" i="1"/>
  <c r="AK156" i="1"/>
  <c r="AJ156" i="1"/>
  <c r="AC156" i="1"/>
  <c r="AB156" i="1"/>
  <c r="U156" i="1"/>
  <c r="T156" i="1"/>
  <c r="M156" i="1"/>
  <c r="L156" i="1"/>
  <c r="AL156" i="1" s="1"/>
  <c r="AK155" i="1"/>
  <c r="AJ155" i="1"/>
  <c r="AC155" i="1"/>
  <c r="AB155" i="1"/>
  <c r="U155" i="1"/>
  <c r="T155" i="1"/>
  <c r="M155" i="1"/>
  <c r="L155" i="1"/>
  <c r="AL155" i="1" s="1"/>
  <c r="AK154" i="1"/>
  <c r="AJ154" i="1"/>
  <c r="AJ158" i="1" s="1"/>
  <c r="AC154" i="1"/>
  <c r="AB154" i="1"/>
  <c r="U154" i="1"/>
  <c r="T154" i="1"/>
  <c r="M154" i="1"/>
  <c r="M158" i="1" s="1"/>
  <c r="L154" i="1"/>
  <c r="AO152" i="1"/>
  <c r="AI152" i="1"/>
  <c r="AH152" i="1"/>
  <c r="AG152" i="1"/>
  <c r="AF152" i="1"/>
  <c r="AE152" i="1"/>
  <c r="AD152" i="1"/>
  <c r="AA152" i="1"/>
  <c r="Z152" i="1"/>
  <c r="Y152" i="1"/>
  <c r="X152" i="1"/>
  <c r="W152" i="1"/>
  <c r="V152" i="1"/>
  <c r="R152" i="1"/>
  <c r="P152" i="1"/>
  <c r="N152" i="1"/>
  <c r="J152" i="1"/>
  <c r="H152" i="1"/>
  <c r="F152" i="1"/>
  <c r="AK151" i="1"/>
  <c r="AJ151" i="1"/>
  <c r="AC151" i="1"/>
  <c r="AB151" i="1"/>
  <c r="T151" i="1"/>
  <c r="S151" i="1"/>
  <c r="U151" i="1" s="1"/>
  <c r="Q151" i="1"/>
  <c r="O151" i="1"/>
  <c r="L151" i="1"/>
  <c r="K151" i="1"/>
  <c r="I151" i="1"/>
  <c r="G151" i="1"/>
  <c r="AK150" i="1"/>
  <c r="AK152" i="1" s="1"/>
  <c r="AJ150" i="1"/>
  <c r="AJ152" i="1" s="1"/>
  <c r="AC150" i="1"/>
  <c r="AB150" i="1"/>
  <c r="T150" i="1"/>
  <c r="T152" i="1" s="1"/>
  <c r="S150" i="1"/>
  <c r="Q150" i="1"/>
  <c r="Q152" i="1" s="1"/>
  <c r="O150" i="1"/>
  <c r="O152" i="1" s="1"/>
  <c r="L150" i="1"/>
  <c r="L152" i="1" s="1"/>
  <c r="K150" i="1"/>
  <c r="I150" i="1"/>
  <c r="G150" i="1"/>
  <c r="AO149" i="1"/>
  <c r="AI149" i="1"/>
  <c r="AH149" i="1"/>
  <c r="AG149" i="1"/>
  <c r="AF149" i="1"/>
  <c r="AE149" i="1"/>
  <c r="AD149" i="1"/>
  <c r="AA149" i="1"/>
  <c r="Z149" i="1"/>
  <c r="Y149" i="1"/>
  <c r="X149" i="1"/>
  <c r="W149" i="1"/>
  <c r="V149" i="1"/>
  <c r="R149" i="1"/>
  <c r="Q149" i="1"/>
  <c r="P149" i="1"/>
  <c r="N149" i="1"/>
  <c r="K149" i="1"/>
  <c r="J149" i="1"/>
  <c r="I149" i="1"/>
  <c r="H149" i="1"/>
  <c r="G149" i="1"/>
  <c r="F149" i="1"/>
  <c r="AK148" i="1"/>
  <c r="AJ148" i="1"/>
  <c r="AC148" i="1"/>
  <c r="AB148" i="1"/>
  <c r="T148" i="1"/>
  <c r="S148" i="1"/>
  <c r="S149" i="1" s="1"/>
  <c r="O148" i="1"/>
  <c r="M148" i="1"/>
  <c r="L148" i="1"/>
  <c r="AK147" i="1"/>
  <c r="AJ147" i="1"/>
  <c r="AJ149" i="1" s="1"/>
  <c r="AC147" i="1"/>
  <c r="AB147" i="1"/>
  <c r="U147" i="1"/>
  <c r="T147" i="1"/>
  <c r="S147" i="1"/>
  <c r="O147" i="1"/>
  <c r="M149" i="1"/>
  <c r="L147" i="1"/>
  <c r="L149" i="1" s="1"/>
  <c r="AO145" i="1"/>
  <c r="AI145" i="1"/>
  <c r="AH145" i="1"/>
  <c r="AG145" i="1"/>
  <c r="AF145" i="1"/>
  <c r="AE145" i="1"/>
  <c r="AD145" i="1"/>
  <c r="AA145" i="1"/>
  <c r="Z145" i="1"/>
  <c r="Y145" i="1"/>
  <c r="X145" i="1"/>
  <c r="W145" i="1"/>
  <c r="V145" i="1"/>
  <c r="S145" i="1"/>
  <c r="R145" i="1"/>
  <c r="Q145" i="1"/>
  <c r="P145" i="1"/>
  <c r="O145" i="1"/>
  <c r="N145" i="1"/>
  <c r="K145" i="1"/>
  <c r="J145" i="1"/>
  <c r="I145" i="1"/>
  <c r="H145" i="1"/>
  <c r="G145" i="1"/>
  <c r="F145" i="1"/>
  <c r="AK144" i="1"/>
  <c r="AJ144" i="1"/>
  <c r="AC144" i="1"/>
  <c r="AB144" i="1"/>
  <c r="U144" i="1"/>
  <c r="T144" i="1"/>
  <c r="M144" i="1"/>
  <c r="L144" i="1"/>
  <c r="AK143" i="1"/>
  <c r="AK145" i="1" s="1"/>
  <c r="AJ143" i="1"/>
  <c r="AJ145" i="1" s="1"/>
  <c r="AC143" i="1"/>
  <c r="AC145" i="1" s="1"/>
  <c r="AC8" i="1" s="1"/>
  <c r="AB143" i="1"/>
  <c r="U143" i="1"/>
  <c r="U145" i="1" s="1"/>
  <c r="T143" i="1"/>
  <c r="T145" i="1" s="1"/>
  <c r="M143" i="1"/>
  <c r="M145" i="1" s="1"/>
  <c r="L143" i="1"/>
  <c r="L145" i="1" s="1"/>
  <c r="AO142" i="1"/>
  <c r="AJ142" i="1"/>
  <c r="AI142" i="1"/>
  <c r="AH142" i="1"/>
  <c r="AG142" i="1"/>
  <c r="AF142" i="1"/>
  <c r="AE142" i="1"/>
  <c r="AD142" i="1"/>
  <c r="AC142" i="1"/>
  <c r="AA142" i="1"/>
  <c r="Z142" i="1"/>
  <c r="Y142" i="1"/>
  <c r="X142" i="1"/>
  <c r="W142" i="1"/>
  <c r="V142" i="1"/>
  <c r="R142" i="1"/>
  <c r="P142" i="1"/>
  <c r="N142" i="1"/>
  <c r="J142" i="1"/>
  <c r="H142" i="1"/>
  <c r="F142" i="1"/>
  <c r="AK141" i="1"/>
  <c r="AJ141" i="1"/>
  <c r="AC141" i="1"/>
  <c r="AB141" i="1"/>
  <c r="U141" i="1"/>
  <c r="T141" i="1"/>
  <c r="M141" i="1"/>
  <c r="L141" i="1"/>
  <c r="AK140" i="1"/>
  <c r="AJ140" i="1"/>
  <c r="AC140" i="1"/>
  <c r="AB140" i="1"/>
  <c r="AB142" i="1" s="1"/>
  <c r="T140" i="1"/>
  <c r="T142" i="1" s="1"/>
  <c r="S140" i="1"/>
  <c r="S142" i="1" s="1"/>
  <c r="Q140" i="1"/>
  <c r="Q142" i="1" s="1"/>
  <c r="O140" i="1"/>
  <c r="O142" i="1" s="1"/>
  <c r="L140" i="1"/>
  <c r="K140" i="1"/>
  <c r="K142" i="1" s="1"/>
  <c r="I140" i="1"/>
  <c r="I142" i="1" s="1"/>
  <c r="G140" i="1"/>
  <c r="AO139" i="1"/>
  <c r="AI139" i="1"/>
  <c r="AH139" i="1"/>
  <c r="AG139" i="1"/>
  <c r="AF139" i="1"/>
  <c r="AE139" i="1"/>
  <c r="AD139" i="1"/>
  <c r="AA139" i="1"/>
  <c r="Z139" i="1"/>
  <c r="Y139" i="1"/>
  <c r="X139" i="1"/>
  <c r="W139" i="1"/>
  <c r="V139" i="1"/>
  <c r="S139" i="1"/>
  <c r="R139" i="1"/>
  <c r="Q139" i="1"/>
  <c r="P139" i="1"/>
  <c r="O139" i="1"/>
  <c r="N139" i="1"/>
  <c r="M139" i="1"/>
  <c r="L139" i="1"/>
  <c r="I139" i="1"/>
  <c r="H139" i="1"/>
  <c r="G139" i="1"/>
  <c r="F139" i="1"/>
  <c r="AK138" i="1"/>
  <c r="AJ138" i="1"/>
  <c r="AC138" i="1"/>
  <c r="AM138" i="1" s="1"/>
  <c r="AB138" i="1"/>
  <c r="U138" i="1"/>
  <c r="T138" i="1"/>
  <c r="K138" i="1"/>
  <c r="J138" i="1"/>
  <c r="AK137" i="1"/>
  <c r="AJ137" i="1"/>
  <c r="AC137" i="1"/>
  <c r="AB137" i="1"/>
  <c r="U137" i="1"/>
  <c r="T137" i="1"/>
  <c r="K137" i="1"/>
  <c r="J137" i="1"/>
  <c r="AK136" i="1"/>
  <c r="AJ136" i="1"/>
  <c r="AC136" i="1"/>
  <c r="AB136" i="1"/>
  <c r="U136" i="1"/>
  <c r="T136" i="1"/>
  <c r="K136" i="1"/>
  <c r="J136" i="1"/>
  <c r="AK135" i="1"/>
  <c r="AJ135" i="1"/>
  <c r="AC135" i="1"/>
  <c r="AB135" i="1"/>
  <c r="U135" i="1"/>
  <c r="U139" i="1" s="1"/>
  <c r="T135" i="1"/>
  <c r="K135" i="1"/>
  <c r="K139" i="1" s="1"/>
  <c r="J135" i="1"/>
  <c r="AO134" i="1"/>
  <c r="AK134" i="1"/>
  <c r="AI134" i="1"/>
  <c r="AH134" i="1"/>
  <c r="AG134" i="1"/>
  <c r="AF134" i="1"/>
  <c r="AE134" i="1"/>
  <c r="AD134" i="1"/>
  <c r="AA134" i="1"/>
  <c r="Z134" i="1"/>
  <c r="Y134" i="1"/>
  <c r="X134" i="1"/>
  <c r="W134" i="1"/>
  <c r="V134" i="1"/>
  <c r="S134" i="1"/>
  <c r="R134" i="1"/>
  <c r="Q134" i="1"/>
  <c r="P134" i="1"/>
  <c r="O134" i="1"/>
  <c r="N134" i="1"/>
  <c r="K134" i="1"/>
  <c r="J134" i="1"/>
  <c r="I134" i="1"/>
  <c r="H134" i="1"/>
  <c r="G134" i="1"/>
  <c r="F134" i="1"/>
  <c r="AK133" i="1"/>
  <c r="AJ133" i="1"/>
  <c r="AC133" i="1"/>
  <c r="AB133" i="1"/>
  <c r="U133" i="1"/>
  <c r="T133" i="1"/>
  <c r="M133" i="1"/>
  <c r="L133" i="1"/>
  <c r="AK132" i="1"/>
  <c r="AJ132" i="1"/>
  <c r="AJ134" i="1" s="1"/>
  <c r="AC132" i="1"/>
  <c r="AC134" i="1" s="1"/>
  <c r="AB132" i="1"/>
  <c r="AB134" i="1" s="1"/>
  <c r="U132" i="1"/>
  <c r="U134" i="1" s="1"/>
  <c r="T132" i="1"/>
  <c r="T134" i="1" s="1"/>
  <c r="M132" i="1"/>
  <c r="L132" i="1"/>
  <c r="AO130" i="1"/>
  <c r="AK130" i="1"/>
  <c r="AJ130" i="1"/>
  <c r="AI130" i="1"/>
  <c r="AH130" i="1"/>
  <c r="AG130" i="1"/>
  <c r="AF130" i="1"/>
  <c r="AE130" i="1"/>
  <c r="AD130" i="1"/>
  <c r="AA130" i="1"/>
  <c r="Z130" i="1"/>
  <c r="Y130" i="1"/>
  <c r="X130" i="1"/>
  <c r="W130" i="1"/>
  <c r="V130" i="1"/>
  <c r="U130" i="1"/>
  <c r="S130" i="1"/>
  <c r="R130" i="1"/>
  <c r="Q130" i="1"/>
  <c r="P130" i="1"/>
  <c r="O130" i="1"/>
  <c r="N130" i="1"/>
  <c r="K130" i="1"/>
  <c r="J130" i="1"/>
  <c r="I130" i="1"/>
  <c r="H130" i="1"/>
  <c r="G130" i="1"/>
  <c r="F130" i="1"/>
  <c r="AK129" i="1"/>
  <c r="AJ129" i="1"/>
  <c r="AC129" i="1"/>
  <c r="AB129" i="1"/>
  <c r="U129" i="1"/>
  <c r="T129" i="1"/>
  <c r="M129" i="1"/>
  <c r="L129" i="1"/>
  <c r="AK128" i="1"/>
  <c r="AJ128" i="1"/>
  <c r="AC128" i="1"/>
  <c r="AC130" i="1" s="1"/>
  <c r="AB128" i="1"/>
  <c r="U128" i="1"/>
  <c r="T128" i="1"/>
  <c r="T130" i="1" s="1"/>
  <c r="M128" i="1"/>
  <c r="AM128" i="1" s="1"/>
  <c r="L128" i="1"/>
  <c r="AO127" i="1"/>
  <c r="AI127" i="1"/>
  <c r="AH127" i="1"/>
  <c r="AG127" i="1"/>
  <c r="AF127" i="1"/>
  <c r="AE127" i="1"/>
  <c r="AD127" i="1"/>
  <c r="AA127" i="1"/>
  <c r="Z127" i="1"/>
  <c r="Y127" i="1"/>
  <c r="X127" i="1"/>
  <c r="W127" i="1"/>
  <c r="V127" i="1"/>
  <c r="S127" i="1"/>
  <c r="R127" i="1"/>
  <c r="Q127" i="1"/>
  <c r="P127" i="1"/>
  <c r="O127" i="1"/>
  <c r="N127" i="1"/>
  <c r="K127" i="1"/>
  <c r="J127" i="1"/>
  <c r="I127" i="1"/>
  <c r="H127" i="1"/>
  <c r="G127" i="1"/>
  <c r="F127" i="1"/>
  <c r="AK126" i="1"/>
  <c r="AJ126" i="1"/>
  <c r="AC126" i="1"/>
  <c r="AB126" i="1"/>
  <c r="U126" i="1"/>
  <c r="T126" i="1"/>
  <c r="M126" i="1"/>
  <c r="L126" i="1"/>
  <c r="AK125" i="1"/>
  <c r="AK127" i="1" s="1"/>
  <c r="AJ125" i="1"/>
  <c r="AJ127" i="1" s="1"/>
  <c r="AC125" i="1"/>
  <c r="AC127" i="1" s="1"/>
  <c r="AB125" i="1"/>
  <c r="AB127" i="1" s="1"/>
  <c r="U125" i="1"/>
  <c r="U127" i="1" s="1"/>
  <c r="T125" i="1"/>
  <c r="T127" i="1" s="1"/>
  <c r="M125" i="1"/>
  <c r="M127" i="1" s="1"/>
  <c r="L125" i="1"/>
  <c r="L127" i="1" s="1"/>
  <c r="B125" i="1"/>
  <c r="B128" i="1" s="1"/>
  <c r="B132" i="1" s="1"/>
  <c r="B135" i="1" s="1"/>
  <c r="B137" i="1" s="1"/>
  <c r="B140" i="1" s="1"/>
  <c r="B143" i="1" s="1"/>
  <c r="B147" i="1" s="1"/>
  <c r="B150" i="1" s="1"/>
  <c r="B154" i="1" s="1"/>
  <c r="B156" i="1" s="1"/>
  <c r="B160" i="1" s="1"/>
  <c r="B164" i="1" s="1"/>
  <c r="B168" i="1" s="1"/>
  <c r="B171" i="1" s="1"/>
  <c r="B175" i="1" s="1"/>
  <c r="AO123" i="1"/>
  <c r="AI123" i="1"/>
  <c r="AH123" i="1"/>
  <c r="AG123" i="1"/>
  <c r="AF123" i="1"/>
  <c r="AE123" i="1"/>
  <c r="AD123" i="1"/>
  <c r="AA123" i="1"/>
  <c r="Z123" i="1"/>
  <c r="Y123" i="1"/>
  <c r="X123" i="1"/>
  <c r="W123" i="1"/>
  <c r="V123" i="1"/>
  <c r="S123" i="1"/>
  <c r="R123" i="1"/>
  <c r="Q123" i="1"/>
  <c r="P123" i="1"/>
  <c r="O123" i="1"/>
  <c r="N123" i="1"/>
  <c r="K123" i="1"/>
  <c r="J123" i="1"/>
  <c r="I123" i="1"/>
  <c r="H123" i="1"/>
  <c r="G123" i="1"/>
  <c r="F123" i="1"/>
  <c r="AK122" i="1"/>
  <c r="AJ122" i="1"/>
  <c r="AC122" i="1"/>
  <c r="AB122" i="1"/>
  <c r="U122" i="1"/>
  <c r="T122" i="1"/>
  <c r="M122" i="1"/>
  <c r="L122" i="1"/>
  <c r="AL122" i="1" s="1"/>
  <c r="AK121" i="1"/>
  <c r="AJ121" i="1"/>
  <c r="AC121" i="1"/>
  <c r="AB121" i="1"/>
  <c r="U121" i="1"/>
  <c r="T121" i="1"/>
  <c r="M121" i="1"/>
  <c r="L121" i="1"/>
  <c r="B121" i="1"/>
  <c r="AJ120" i="1"/>
  <c r="AB120" i="1"/>
  <c r="T120" i="1"/>
  <c r="M120" i="1"/>
  <c r="AM120" i="1" s="1"/>
  <c r="L120" i="1"/>
  <c r="AK119" i="1"/>
  <c r="AJ119" i="1"/>
  <c r="AB119" i="1"/>
  <c r="T119" i="1"/>
  <c r="M119" i="1"/>
  <c r="AM119" i="1" s="1"/>
  <c r="L119" i="1"/>
  <c r="AJ118" i="1"/>
  <c r="AB118" i="1"/>
  <c r="T118" i="1"/>
  <c r="M118" i="1"/>
  <c r="AM118" i="1" s="1"/>
  <c r="L118" i="1"/>
  <c r="AK117" i="1"/>
  <c r="AJ117" i="1"/>
  <c r="AB117" i="1"/>
  <c r="U123" i="1"/>
  <c r="T117" i="1"/>
  <c r="M117" i="1"/>
  <c r="L117" i="1"/>
  <c r="AN115" i="1"/>
  <c r="AO115" i="1" s="1"/>
  <c r="AI115" i="1"/>
  <c r="AH115" i="1"/>
  <c r="AG115" i="1"/>
  <c r="AF115" i="1"/>
  <c r="AE115" i="1"/>
  <c r="AD115" i="1"/>
  <c r="AA115" i="1"/>
  <c r="Z115" i="1"/>
  <c r="Y115" i="1"/>
  <c r="X115" i="1"/>
  <c r="W115" i="1"/>
  <c r="V115" i="1"/>
  <c r="S115" i="1"/>
  <c r="R115" i="1"/>
  <c r="Q115" i="1"/>
  <c r="P115" i="1"/>
  <c r="O115" i="1"/>
  <c r="N115" i="1"/>
  <c r="K115" i="1"/>
  <c r="J115" i="1"/>
  <c r="I115" i="1"/>
  <c r="H115" i="1"/>
  <c r="G115" i="1"/>
  <c r="F115" i="1"/>
  <c r="AK114" i="1"/>
  <c r="AJ114" i="1"/>
  <c r="AC114" i="1"/>
  <c r="AB114" i="1"/>
  <c r="U114" i="1"/>
  <c r="T114" i="1"/>
  <c r="M114" i="1"/>
  <c r="L114" i="1"/>
  <c r="AK113" i="1"/>
  <c r="AK115" i="1" s="1"/>
  <c r="AJ113" i="1"/>
  <c r="AJ115" i="1" s="1"/>
  <c r="AC113" i="1"/>
  <c r="AC115" i="1" s="1"/>
  <c r="AB113" i="1"/>
  <c r="AB115" i="1" s="1"/>
  <c r="U113" i="1"/>
  <c r="U115" i="1" s="1"/>
  <c r="T113" i="1"/>
  <c r="M113" i="1"/>
  <c r="AM113" i="1" s="1"/>
  <c r="L113" i="1"/>
  <c r="L115" i="1" s="1"/>
  <c r="AO111" i="1"/>
  <c r="AI111" i="1"/>
  <c r="AH111" i="1"/>
  <c r="AG111" i="1"/>
  <c r="AF111" i="1"/>
  <c r="AE111" i="1"/>
  <c r="AD111" i="1"/>
  <c r="AA111" i="1"/>
  <c r="Z111" i="1"/>
  <c r="Y111" i="1"/>
  <c r="X111" i="1"/>
  <c r="W111" i="1"/>
  <c r="V111" i="1"/>
  <c r="S111" i="1"/>
  <c r="R111" i="1"/>
  <c r="Q111" i="1"/>
  <c r="P111" i="1"/>
  <c r="O111" i="1"/>
  <c r="N111" i="1"/>
  <c r="K111" i="1"/>
  <c r="J111" i="1"/>
  <c r="I111" i="1"/>
  <c r="H111" i="1"/>
  <c r="G111" i="1"/>
  <c r="F111" i="1"/>
  <c r="AK110" i="1"/>
  <c r="AJ110" i="1"/>
  <c r="AC110" i="1"/>
  <c r="AB110" i="1"/>
  <c r="U110" i="1"/>
  <c r="T110" i="1"/>
  <c r="M110" i="1"/>
  <c r="L110" i="1"/>
  <c r="AK109" i="1"/>
  <c r="AK111" i="1" s="1"/>
  <c r="AJ109" i="1"/>
  <c r="AJ111" i="1" s="1"/>
  <c r="AC109" i="1"/>
  <c r="AC111" i="1" s="1"/>
  <c r="AB109" i="1"/>
  <c r="AB111" i="1" s="1"/>
  <c r="U109" i="1"/>
  <c r="U111" i="1" s="1"/>
  <c r="T109" i="1"/>
  <c r="T111" i="1" s="1"/>
  <c r="M109" i="1"/>
  <c r="M111" i="1" s="1"/>
  <c r="L109" i="1"/>
  <c r="L111" i="1" s="1"/>
  <c r="AO108" i="1"/>
  <c r="AI108" i="1"/>
  <c r="AH108" i="1"/>
  <c r="AG108" i="1"/>
  <c r="AF108" i="1"/>
  <c r="AE108" i="1"/>
  <c r="AD108" i="1"/>
  <c r="AA108" i="1"/>
  <c r="Z108" i="1"/>
  <c r="Y108" i="1"/>
  <c r="X108" i="1"/>
  <c r="V108" i="1"/>
  <c r="R108" i="1"/>
  <c r="Q108" i="1"/>
  <c r="AK107" i="1"/>
  <c r="AJ107" i="1"/>
  <c r="S107" i="1"/>
  <c r="R107" i="1"/>
  <c r="Q107" i="1"/>
  <c r="P107" i="1"/>
  <c r="P108" i="1" s="1"/>
  <c r="O107" i="1"/>
  <c r="N107" i="1"/>
  <c r="K107" i="1"/>
  <c r="J107" i="1"/>
  <c r="J108" i="1" s="1"/>
  <c r="I107" i="1"/>
  <c r="H107" i="1"/>
  <c r="H108" i="1" s="1"/>
  <c r="G107" i="1"/>
  <c r="F107" i="1"/>
  <c r="AK106" i="1"/>
  <c r="AK108" i="1" s="1"/>
  <c r="AJ106" i="1"/>
  <c r="AC106" i="1"/>
  <c r="AB106" i="1"/>
  <c r="T106" i="1"/>
  <c r="S106" i="1"/>
  <c r="Q106" i="1"/>
  <c r="O106" i="1"/>
  <c r="L106" i="1"/>
  <c r="K106" i="1"/>
  <c r="I106" i="1"/>
  <c r="G106" i="1"/>
  <c r="AO105" i="1"/>
  <c r="AJ105" i="1"/>
  <c r="AI105" i="1"/>
  <c r="AH105" i="1"/>
  <c r="AG105" i="1"/>
  <c r="AF105" i="1"/>
  <c r="AE105" i="1"/>
  <c r="AD105" i="1"/>
  <c r="AA105" i="1"/>
  <c r="Z105" i="1"/>
  <c r="Y105" i="1"/>
  <c r="X105" i="1"/>
  <c r="W105" i="1"/>
  <c r="V105" i="1"/>
  <c r="S105" i="1"/>
  <c r="R105" i="1"/>
  <c r="Q105" i="1"/>
  <c r="P105" i="1"/>
  <c r="O105" i="1"/>
  <c r="N105" i="1"/>
  <c r="K105" i="1"/>
  <c r="J105" i="1"/>
  <c r="I105" i="1"/>
  <c r="H105" i="1"/>
  <c r="G105" i="1"/>
  <c r="F105" i="1"/>
  <c r="AM104" i="1"/>
  <c r="AK104" i="1"/>
  <c r="AJ104" i="1"/>
  <c r="AC104" i="1"/>
  <c r="AB104" i="1"/>
  <c r="U104" i="1"/>
  <c r="T104" i="1"/>
  <c r="M104" i="1"/>
  <c r="L104" i="1"/>
  <c r="AK103" i="1"/>
  <c r="AK105" i="1" s="1"/>
  <c r="AJ103" i="1"/>
  <c r="AC103" i="1"/>
  <c r="AC105" i="1" s="1"/>
  <c r="AB103" i="1"/>
  <c r="U103" i="1"/>
  <c r="U105" i="1" s="1"/>
  <c r="T103" i="1"/>
  <c r="T105" i="1" s="1"/>
  <c r="M103" i="1"/>
  <c r="AM103" i="1" s="1"/>
  <c r="L103" i="1"/>
  <c r="AO101" i="1"/>
  <c r="AI101" i="1"/>
  <c r="AH101" i="1"/>
  <c r="AG101" i="1"/>
  <c r="AF101" i="1"/>
  <c r="AE101" i="1"/>
  <c r="AD101" i="1"/>
  <c r="AA101" i="1"/>
  <c r="Z101" i="1"/>
  <c r="Y101" i="1"/>
  <c r="X101" i="1"/>
  <c r="W101" i="1"/>
  <c r="V101" i="1"/>
  <c r="S101" i="1"/>
  <c r="R101" i="1"/>
  <c r="Q101" i="1"/>
  <c r="P101" i="1"/>
  <c r="O101" i="1"/>
  <c r="N101" i="1"/>
  <c r="K101" i="1"/>
  <c r="J101" i="1"/>
  <c r="H101" i="1"/>
  <c r="F101" i="1"/>
  <c r="AK100" i="1"/>
  <c r="AJ100" i="1"/>
  <c r="AC100" i="1"/>
  <c r="AB100" i="1"/>
  <c r="U100" i="1"/>
  <c r="U101" i="1" s="1"/>
  <c r="T100" i="1"/>
  <c r="L100" i="1"/>
  <c r="I100" i="1"/>
  <c r="G100" i="1"/>
  <c r="M100" i="1" s="1"/>
  <c r="AK99" i="1"/>
  <c r="AJ99" i="1"/>
  <c r="AJ101" i="1" s="1"/>
  <c r="AC99" i="1"/>
  <c r="AC101" i="1" s="1"/>
  <c r="AB99" i="1"/>
  <c r="U99" i="1"/>
  <c r="T99" i="1"/>
  <c r="L99" i="1"/>
  <c r="L101" i="1" s="1"/>
  <c r="I99" i="1"/>
  <c r="I101" i="1" s="1"/>
  <c r="G99" i="1"/>
  <c r="B99" i="1"/>
  <c r="B103" i="1" s="1"/>
  <c r="B106" i="1" s="1"/>
  <c r="AO98" i="1"/>
  <c r="AJ98" i="1"/>
  <c r="AI98" i="1"/>
  <c r="AH98" i="1"/>
  <c r="AG98" i="1"/>
  <c r="AF98" i="1"/>
  <c r="AE98" i="1"/>
  <c r="AD98" i="1"/>
  <c r="AA98" i="1"/>
  <c r="Z98" i="1"/>
  <c r="Y98" i="1"/>
  <c r="X98" i="1"/>
  <c r="W98" i="1"/>
  <c r="V98" i="1"/>
  <c r="S98" i="1"/>
  <c r="R98" i="1"/>
  <c r="Q98" i="1"/>
  <c r="P98" i="1"/>
  <c r="O98" i="1"/>
  <c r="N98" i="1"/>
  <c r="K98" i="1"/>
  <c r="J98" i="1"/>
  <c r="I98" i="1"/>
  <c r="H98" i="1"/>
  <c r="G98" i="1"/>
  <c r="F98" i="1"/>
  <c r="AK97" i="1"/>
  <c r="AJ97" i="1"/>
  <c r="AC97" i="1"/>
  <c r="AB97" i="1"/>
  <c r="U97" i="1"/>
  <c r="T97" i="1"/>
  <c r="M97" i="1"/>
  <c r="L97" i="1"/>
  <c r="AK96" i="1"/>
  <c r="AJ96" i="1"/>
  <c r="AC96" i="1"/>
  <c r="AC98" i="1" s="1"/>
  <c r="AB96" i="1"/>
  <c r="AB98" i="1" s="1"/>
  <c r="U96" i="1"/>
  <c r="T96" i="1"/>
  <c r="T98" i="1" s="1"/>
  <c r="M96" i="1"/>
  <c r="M98" i="1" s="1"/>
  <c r="L96" i="1"/>
  <c r="AO95" i="1"/>
  <c r="AK95" i="1"/>
  <c r="AI95" i="1"/>
  <c r="AH95" i="1"/>
  <c r="AG95" i="1"/>
  <c r="AF95" i="1"/>
  <c r="AE95" i="1"/>
  <c r="AD95" i="1"/>
  <c r="AA95" i="1"/>
  <c r="Z95" i="1"/>
  <c r="Y95" i="1"/>
  <c r="X95" i="1"/>
  <c r="W95" i="1"/>
  <c r="V95" i="1"/>
  <c r="U95" i="1"/>
  <c r="S95" i="1"/>
  <c r="R95" i="1"/>
  <c r="Q95" i="1"/>
  <c r="P95" i="1"/>
  <c r="O95" i="1"/>
  <c r="N95" i="1"/>
  <c r="K95" i="1"/>
  <c r="J95" i="1"/>
  <c r="I95" i="1"/>
  <c r="H95" i="1"/>
  <c r="G95" i="1"/>
  <c r="F95" i="1"/>
  <c r="AK94" i="1"/>
  <c r="AJ94" i="1"/>
  <c r="AC94" i="1"/>
  <c r="AB94" i="1"/>
  <c r="U94" i="1"/>
  <c r="T94" i="1"/>
  <c r="M94" i="1"/>
  <c r="L94" i="1"/>
  <c r="AK93" i="1"/>
  <c r="AJ93" i="1"/>
  <c r="AJ95" i="1" s="1"/>
  <c r="AC93" i="1"/>
  <c r="AB93" i="1"/>
  <c r="AB95" i="1" s="1"/>
  <c r="U93" i="1"/>
  <c r="T93" i="1"/>
  <c r="T95" i="1" s="1"/>
  <c r="M93" i="1"/>
  <c r="M95" i="1" s="1"/>
  <c r="L93" i="1"/>
  <c r="L95" i="1" s="1"/>
  <c r="B93" i="1"/>
  <c r="B96" i="1" s="1"/>
  <c r="AO92" i="1"/>
  <c r="AI92" i="1"/>
  <c r="AH92" i="1"/>
  <c r="AG92" i="1"/>
  <c r="AF92" i="1"/>
  <c r="AE92" i="1"/>
  <c r="AD92" i="1"/>
  <c r="AA92" i="1"/>
  <c r="Z92" i="1"/>
  <c r="Y92" i="1"/>
  <c r="X92" i="1"/>
  <c r="W92" i="1"/>
  <c r="V92" i="1"/>
  <c r="S92" i="1"/>
  <c r="R92" i="1"/>
  <c r="Q92" i="1"/>
  <c r="P92" i="1"/>
  <c r="O92" i="1"/>
  <c r="N92" i="1"/>
  <c r="K92" i="1"/>
  <c r="J92" i="1"/>
  <c r="I92" i="1"/>
  <c r="H92" i="1"/>
  <c r="G92" i="1"/>
  <c r="F92" i="1"/>
  <c r="AK91" i="1"/>
  <c r="AJ91" i="1"/>
  <c r="AC91" i="1"/>
  <c r="AB91" i="1"/>
  <c r="U91" i="1"/>
  <c r="T91" i="1"/>
  <c r="M91" i="1"/>
  <c r="L91" i="1"/>
  <c r="AK90" i="1"/>
  <c r="AK92" i="1" s="1"/>
  <c r="AJ90" i="1"/>
  <c r="AJ92" i="1" s="1"/>
  <c r="AC90" i="1"/>
  <c r="AC92" i="1" s="1"/>
  <c r="AB90" i="1"/>
  <c r="U90" i="1"/>
  <c r="T90" i="1"/>
  <c r="M90" i="1"/>
  <c r="L90" i="1"/>
  <c r="U89" i="1"/>
  <c r="AM89" i="1" s="1"/>
  <c r="T89" i="1"/>
  <c r="M89" i="1"/>
  <c r="L89" i="1"/>
  <c r="AL89" i="1" s="1"/>
  <c r="U88" i="1"/>
  <c r="T88" i="1"/>
  <c r="M88" i="1"/>
  <c r="L88" i="1"/>
  <c r="L92" i="1" s="1"/>
  <c r="AO87" i="1"/>
  <c r="AK87" i="1"/>
  <c r="AJ87" i="1"/>
  <c r="AI87" i="1"/>
  <c r="AH87" i="1"/>
  <c r="AG87" i="1"/>
  <c r="AF87" i="1"/>
  <c r="AE87" i="1"/>
  <c r="AD87" i="1"/>
  <c r="AA87" i="1"/>
  <c r="Z87" i="1"/>
  <c r="Y87" i="1"/>
  <c r="X87" i="1"/>
  <c r="W87" i="1"/>
  <c r="V87" i="1"/>
  <c r="S87" i="1"/>
  <c r="R87" i="1"/>
  <c r="Q87" i="1"/>
  <c r="P87" i="1"/>
  <c r="O87" i="1"/>
  <c r="N87" i="1"/>
  <c r="K87" i="1"/>
  <c r="J87" i="1"/>
  <c r="I87" i="1"/>
  <c r="H87" i="1"/>
  <c r="G87" i="1"/>
  <c r="F87" i="1"/>
  <c r="AK86" i="1"/>
  <c r="AJ86" i="1"/>
  <c r="AC86" i="1"/>
  <c r="AB86" i="1"/>
  <c r="U86" i="1"/>
  <c r="T86" i="1"/>
  <c r="M86" i="1"/>
  <c r="L86" i="1"/>
  <c r="AK85" i="1"/>
  <c r="AJ85" i="1"/>
  <c r="AC85" i="1"/>
  <c r="AB85" i="1"/>
  <c r="AB87" i="1" s="1"/>
  <c r="U85" i="1"/>
  <c r="U87" i="1" s="1"/>
  <c r="T85" i="1"/>
  <c r="T87" i="1" s="1"/>
  <c r="M85" i="1"/>
  <c r="M87" i="1" s="1"/>
  <c r="L85" i="1"/>
  <c r="B85" i="1"/>
  <c r="AO84" i="1"/>
  <c r="AI84" i="1"/>
  <c r="AH84" i="1"/>
  <c r="AG84" i="1"/>
  <c r="AF84" i="1"/>
  <c r="AE84" i="1"/>
  <c r="AD84" i="1"/>
  <c r="AA84" i="1"/>
  <c r="Z84" i="1"/>
  <c r="Y84" i="1"/>
  <c r="X84" i="1"/>
  <c r="W84" i="1"/>
  <c r="V84" i="1"/>
  <c r="H84" i="1"/>
  <c r="AK83" i="1"/>
  <c r="AJ83" i="1"/>
  <c r="AC83" i="1"/>
  <c r="AB83" i="1"/>
  <c r="S83" i="1"/>
  <c r="R83" i="1"/>
  <c r="Q83" i="1"/>
  <c r="U83" i="1" s="1"/>
  <c r="P83" i="1"/>
  <c r="T83" i="1" s="1"/>
  <c r="O83" i="1"/>
  <c r="N83" i="1"/>
  <c r="K83" i="1"/>
  <c r="J83" i="1"/>
  <c r="I83" i="1"/>
  <c r="G83" i="1"/>
  <c r="F83" i="1"/>
  <c r="L83" i="1" s="1"/>
  <c r="AK82" i="1"/>
  <c r="AK84" i="1" s="1"/>
  <c r="AJ82" i="1"/>
  <c r="AJ84" i="1" s="1"/>
  <c r="AC82" i="1"/>
  <c r="AC84" i="1" s="1"/>
  <c r="AB82" i="1"/>
  <c r="S82" i="1"/>
  <c r="R82" i="1"/>
  <c r="Q82" i="1"/>
  <c r="P82" i="1"/>
  <c r="P84" i="1" s="1"/>
  <c r="O82" i="1"/>
  <c r="N82" i="1"/>
  <c r="K82" i="1"/>
  <c r="J82" i="1"/>
  <c r="J84" i="1" s="1"/>
  <c r="I82" i="1"/>
  <c r="G82" i="1"/>
  <c r="F82" i="1"/>
  <c r="AO81" i="1"/>
  <c r="AI81" i="1"/>
  <c r="AH81" i="1"/>
  <c r="AG81" i="1"/>
  <c r="AF81" i="1"/>
  <c r="AE81" i="1"/>
  <c r="AD81" i="1"/>
  <c r="AA81" i="1"/>
  <c r="Z81" i="1"/>
  <c r="Y81" i="1"/>
  <c r="X81" i="1"/>
  <c r="W81" i="1"/>
  <c r="V81" i="1"/>
  <c r="S81" i="1"/>
  <c r="R81" i="1"/>
  <c r="Q81" i="1"/>
  <c r="P81" i="1"/>
  <c r="O81" i="1"/>
  <c r="N81" i="1"/>
  <c r="K81" i="1"/>
  <c r="J81" i="1"/>
  <c r="I81" i="1"/>
  <c r="H81" i="1"/>
  <c r="G81" i="1"/>
  <c r="F81" i="1"/>
  <c r="AK80" i="1"/>
  <c r="AJ80" i="1"/>
  <c r="AC80" i="1"/>
  <c r="AB80" i="1"/>
  <c r="U80" i="1"/>
  <c r="T80" i="1"/>
  <c r="M80" i="1"/>
  <c r="L80" i="1"/>
  <c r="AK79" i="1"/>
  <c r="AK81" i="1" s="1"/>
  <c r="AJ79" i="1"/>
  <c r="AC79" i="1"/>
  <c r="AB79" i="1"/>
  <c r="U79" i="1"/>
  <c r="U81" i="1" s="1"/>
  <c r="T79" i="1"/>
  <c r="T81" i="1" s="1"/>
  <c r="M79" i="1"/>
  <c r="AM79" i="1" s="1"/>
  <c r="L79" i="1"/>
  <c r="L81" i="1" s="1"/>
  <c r="B79" i="1"/>
  <c r="AO78" i="1"/>
  <c r="AK78" i="1"/>
  <c r="AI78" i="1"/>
  <c r="AH78" i="1"/>
  <c r="AG78" i="1"/>
  <c r="AF78" i="1"/>
  <c r="AE78" i="1"/>
  <c r="AD78" i="1"/>
  <c r="AC78" i="1"/>
  <c r="AA78" i="1"/>
  <c r="Z78" i="1"/>
  <c r="Y78" i="1"/>
  <c r="X78" i="1"/>
  <c r="W78" i="1"/>
  <c r="V78" i="1"/>
  <c r="S78" i="1"/>
  <c r="R78" i="1"/>
  <c r="Q78" i="1"/>
  <c r="P78" i="1"/>
  <c r="O78" i="1"/>
  <c r="N78" i="1"/>
  <c r="K78" i="1"/>
  <c r="J78" i="1"/>
  <c r="I78" i="1"/>
  <c r="H78" i="1"/>
  <c r="G78" i="1"/>
  <c r="F78" i="1"/>
  <c r="U77" i="1"/>
  <c r="T77" i="1"/>
  <c r="M77" i="1"/>
  <c r="L77" i="1"/>
  <c r="AL77" i="1" s="1"/>
  <c r="AJ76" i="1"/>
  <c r="AJ78" i="1" s="1"/>
  <c r="AB76" i="1"/>
  <c r="U76" i="1"/>
  <c r="U78" i="1" s="1"/>
  <c r="T76" i="1"/>
  <c r="M76" i="1"/>
  <c r="AM76" i="1" s="1"/>
  <c r="L76" i="1"/>
  <c r="L78" i="1" s="1"/>
  <c r="AO75" i="1"/>
  <c r="AI75" i="1"/>
  <c r="AH75" i="1"/>
  <c r="AG75" i="1"/>
  <c r="AF75" i="1"/>
  <c r="AE75" i="1"/>
  <c r="AD75" i="1"/>
  <c r="AA75" i="1"/>
  <c r="Z75" i="1"/>
  <c r="Y75" i="1"/>
  <c r="X75" i="1"/>
  <c r="W75" i="1"/>
  <c r="V75" i="1"/>
  <c r="S75" i="1"/>
  <c r="R75" i="1"/>
  <c r="Q75" i="1"/>
  <c r="P75" i="1"/>
  <c r="N75" i="1"/>
  <c r="K75" i="1"/>
  <c r="J75" i="1"/>
  <c r="I75" i="1"/>
  <c r="H75" i="1"/>
  <c r="G75" i="1"/>
  <c r="F75" i="1"/>
  <c r="AK74" i="1"/>
  <c r="AJ74" i="1"/>
  <c r="AC74" i="1"/>
  <c r="AB74" i="1"/>
  <c r="T74" i="1"/>
  <c r="O74" i="1"/>
  <c r="U74" i="1" s="1"/>
  <c r="M74" i="1"/>
  <c r="L74" i="1"/>
  <c r="AK73" i="1"/>
  <c r="AJ73" i="1"/>
  <c r="AC73" i="1"/>
  <c r="AB73" i="1"/>
  <c r="T73" i="1"/>
  <c r="T75" i="1" s="1"/>
  <c r="O73" i="1"/>
  <c r="U73" i="1" s="1"/>
  <c r="M73" i="1"/>
  <c r="L73" i="1"/>
  <c r="L75" i="1" s="1"/>
  <c r="B73" i="1"/>
  <c r="AO72" i="1"/>
  <c r="AK72" i="1"/>
  <c r="AI72" i="1"/>
  <c r="AH72" i="1"/>
  <c r="AG72" i="1"/>
  <c r="AF72" i="1"/>
  <c r="AE72" i="1"/>
  <c r="AD72" i="1"/>
  <c r="AA72" i="1"/>
  <c r="Z72" i="1"/>
  <c r="Y72" i="1"/>
  <c r="X72" i="1"/>
  <c r="W72" i="1"/>
  <c r="V72" i="1"/>
  <c r="R72" i="1"/>
  <c r="P72" i="1"/>
  <c r="N72" i="1"/>
  <c r="L72" i="1"/>
  <c r="J72" i="1"/>
  <c r="H72" i="1"/>
  <c r="F72" i="1"/>
  <c r="AK71" i="1"/>
  <c r="AJ71" i="1"/>
  <c r="AC71" i="1"/>
  <c r="AB71" i="1"/>
  <c r="T71" i="1"/>
  <c r="S71" i="1"/>
  <c r="Q71" i="1"/>
  <c r="O71" i="1"/>
  <c r="L71" i="1"/>
  <c r="K71" i="1"/>
  <c r="I71" i="1"/>
  <c r="G71" i="1"/>
  <c r="M71" i="1" s="1"/>
  <c r="AK70" i="1"/>
  <c r="AJ70" i="1"/>
  <c r="AJ72" i="1" s="1"/>
  <c r="AC70" i="1"/>
  <c r="AC72" i="1" s="1"/>
  <c r="AB70" i="1"/>
  <c r="AL70" i="1" s="1"/>
  <c r="T70" i="1"/>
  <c r="T72" i="1" s="1"/>
  <c r="S70" i="1"/>
  <c r="S72" i="1" s="1"/>
  <c r="Q70" i="1"/>
  <c r="Q72" i="1" s="1"/>
  <c r="O70" i="1"/>
  <c r="L70" i="1"/>
  <c r="K70" i="1"/>
  <c r="K72" i="1" s="1"/>
  <c r="I70" i="1"/>
  <c r="I72" i="1" s="1"/>
  <c r="G70" i="1"/>
  <c r="AN69" i="1"/>
  <c r="AO69" i="1" s="1"/>
  <c r="AI69" i="1"/>
  <c r="AH69" i="1"/>
  <c r="AG69" i="1"/>
  <c r="AF69" i="1"/>
  <c r="AE69" i="1"/>
  <c r="AD69" i="1"/>
  <c r="AA69" i="1"/>
  <c r="Z69" i="1"/>
  <c r="Y69" i="1"/>
  <c r="X69" i="1"/>
  <c r="W69" i="1"/>
  <c r="V69" i="1"/>
  <c r="P69" i="1"/>
  <c r="AJ68" i="1"/>
  <c r="AB68" i="1"/>
  <c r="S68" i="1"/>
  <c r="R68" i="1"/>
  <c r="Q68" i="1"/>
  <c r="P68" i="1"/>
  <c r="O68" i="1"/>
  <c r="N68" i="1"/>
  <c r="N69" i="1" s="1"/>
  <c r="M68" i="1"/>
  <c r="K68" i="1"/>
  <c r="J68" i="1"/>
  <c r="J69" i="1" s="1"/>
  <c r="I68" i="1"/>
  <c r="H68" i="1"/>
  <c r="H69" i="1" s="1"/>
  <c r="G68" i="1"/>
  <c r="F68" i="1"/>
  <c r="F69" i="1" s="1"/>
  <c r="AK67" i="1"/>
  <c r="AJ67" i="1"/>
  <c r="AC67" i="1"/>
  <c r="AB67" i="1"/>
  <c r="T67" i="1"/>
  <c r="Q67" i="1"/>
  <c r="O67" i="1"/>
  <c r="L67" i="1"/>
  <c r="K67" i="1"/>
  <c r="I67" i="1"/>
  <c r="G67" i="1"/>
  <c r="AK66" i="1"/>
  <c r="AJ66" i="1"/>
  <c r="AC66" i="1"/>
  <c r="AB66" i="1"/>
  <c r="T66" i="1"/>
  <c r="Q66" i="1"/>
  <c r="O66" i="1"/>
  <c r="L66" i="1"/>
  <c r="K66" i="1"/>
  <c r="I66" i="1"/>
  <c r="G66" i="1"/>
  <c r="AK65" i="1"/>
  <c r="AJ65" i="1"/>
  <c r="AC65" i="1"/>
  <c r="AB65" i="1"/>
  <c r="T65" i="1"/>
  <c r="Q65" i="1"/>
  <c r="O65" i="1"/>
  <c r="L65" i="1"/>
  <c r="K65" i="1"/>
  <c r="G65" i="1"/>
  <c r="M65" i="1" s="1"/>
  <c r="AK64" i="1"/>
  <c r="AJ64" i="1"/>
  <c r="AC64" i="1"/>
  <c r="AB64" i="1"/>
  <c r="T64" i="1"/>
  <c r="Q64" i="1"/>
  <c r="O64" i="1"/>
  <c r="U64" i="1" s="1"/>
  <c r="L64" i="1"/>
  <c r="K64" i="1"/>
  <c r="I64" i="1"/>
  <c r="G64" i="1"/>
  <c r="M64" i="1" s="1"/>
  <c r="AK63" i="1"/>
  <c r="AJ63" i="1"/>
  <c r="AC63" i="1"/>
  <c r="AB63" i="1"/>
  <c r="Q63" i="1"/>
  <c r="O63" i="1"/>
  <c r="L63" i="1"/>
  <c r="K63" i="1"/>
  <c r="K69" i="1" s="1"/>
  <c r="I63" i="1"/>
  <c r="G63" i="1"/>
  <c r="AK62" i="1"/>
  <c r="AJ62" i="1"/>
  <c r="AB62" i="1"/>
  <c r="T62" i="1"/>
  <c r="Q62" i="1"/>
  <c r="O62" i="1"/>
  <c r="L62" i="1"/>
  <c r="K62" i="1"/>
  <c r="I62" i="1"/>
  <c r="G62" i="1"/>
  <c r="AO61" i="1"/>
  <c r="AI61" i="1"/>
  <c r="AH61" i="1"/>
  <c r="AG61" i="1"/>
  <c r="AF61" i="1"/>
  <c r="AE61" i="1"/>
  <c r="AD61" i="1"/>
  <c r="AA61" i="1"/>
  <c r="Z61" i="1"/>
  <c r="Y61" i="1"/>
  <c r="X61" i="1"/>
  <c r="W61" i="1"/>
  <c r="V61" i="1"/>
  <c r="P61" i="1"/>
  <c r="N61" i="1"/>
  <c r="J61" i="1"/>
  <c r="H61" i="1"/>
  <c r="F61" i="1"/>
  <c r="AK60" i="1"/>
  <c r="AJ60" i="1"/>
  <c r="AC60" i="1"/>
  <c r="AB60" i="1"/>
  <c r="U60" i="1"/>
  <c r="R60" i="1"/>
  <c r="R61" i="1" s="1"/>
  <c r="P60" i="1"/>
  <c r="T60" i="1" s="1"/>
  <c r="M60" i="1"/>
  <c r="L60" i="1"/>
  <c r="L61" i="1" s="1"/>
  <c r="AK59" i="1"/>
  <c r="AJ59" i="1"/>
  <c r="AC59" i="1"/>
  <c r="AB59" i="1"/>
  <c r="AB61" i="1" s="1"/>
  <c r="T59" i="1"/>
  <c r="S59" i="1"/>
  <c r="S61" i="1" s="1"/>
  <c r="Q59" i="1"/>
  <c r="Q61" i="1" s="1"/>
  <c r="O59" i="1"/>
  <c r="O61" i="1" s="1"/>
  <c r="L59" i="1"/>
  <c r="K59" i="1"/>
  <c r="K61" i="1" s="1"/>
  <c r="I59" i="1"/>
  <c r="I61" i="1" s="1"/>
  <c r="G59" i="1"/>
  <c r="AO58" i="1"/>
  <c r="AI58" i="1"/>
  <c r="AH58" i="1"/>
  <c r="AG58" i="1"/>
  <c r="AF58" i="1"/>
  <c r="AE58" i="1"/>
  <c r="AD58" i="1"/>
  <c r="AA58" i="1"/>
  <c r="Z58" i="1"/>
  <c r="Y58" i="1"/>
  <c r="X58" i="1"/>
  <c r="V58" i="1"/>
  <c r="R58" i="1"/>
  <c r="Q58" i="1"/>
  <c r="P58" i="1"/>
  <c r="O58" i="1"/>
  <c r="N58" i="1"/>
  <c r="J58" i="1"/>
  <c r="H58" i="1"/>
  <c r="F58" i="1"/>
  <c r="AK57" i="1"/>
  <c r="AJ57" i="1"/>
  <c r="AC57" i="1"/>
  <c r="AB57" i="1"/>
  <c r="T57" i="1"/>
  <c r="S57" i="1"/>
  <c r="L57" i="1"/>
  <c r="K57" i="1"/>
  <c r="I57" i="1"/>
  <c r="G57" i="1"/>
  <c r="AK56" i="1"/>
  <c r="AK58" i="1" s="1"/>
  <c r="AJ56" i="1"/>
  <c r="AB56" i="1"/>
  <c r="AB58" i="1" s="1"/>
  <c r="T56" i="1"/>
  <c r="S56" i="1"/>
  <c r="U56" i="1" s="1"/>
  <c r="L56" i="1"/>
  <c r="K56" i="1"/>
  <c r="K58" i="1" s="1"/>
  <c r="I56" i="1"/>
  <c r="G56" i="1"/>
  <c r="AO55" i="1"/>
  <c r="AK55" i="1"/>
  <c r="AI55" i="1"/>
  <c r="AH55" i="1"/>
  <c r="AG55" i="1"/>
  <c r="AF55" i="1"/>
  <c r="AE55" i="1"/>
  <c r="AD55" i="1"/>
  <c r="AA55" i="1"/>
  <c r="Z55" i="1"/>
  <c r="Y55" i="1"/>
  <c r="X55" i="1"/>
  <c r="W55" i="1"/>
  <c r="V55" i="1"/>
  <c r="S55" i="1"/>
  <c r="Q55" i="1"/>
  <c r="O55" i="1"/>
  <c r="N55" i="1"/>
  <c r="K55" i="1"/>
  <c r="I55" i="1"/>
  <c r="G55" i="1"/>
  <c r="AK54" i="1"/>
  <c r="AJ54" i="1"/>
  <c r="AC54" i="1"/>
  <c r="AB54" i="1"/>
  <c r="U54" i="1"/>
  <c r="R54" i="1"/>
  <c r="P54" i="1"/>
  <c r="N54" i="1"/>
  <c r="M54" i="1"/>
  <c r="J54" i="1"/>
  <c r="H54" i="1"/>
  <c r="F54" i="1"/>
  <c r="AK53" i="1"/>
  <c r="AJ53" i="1"/>
  <c r="AJ55" i="1" s="1"/>
  <c r="AC53" i="1"/>
  <c r="AC55" i="1" s="1"/>
  <c r="AB53" i="1"/>
  <c r="AB55" i="1" s="1"/>
  <c r="U53" i="1"/>
  <c r="R53" i="1"/>
  <c r="R55" i="1" s="1"/>
  <c r="P53" i="1"/>
  <c r="P55" i="1" s="1"/>
  <c r="N53" i="1"/>
  <c r="M53" i="1"/>
  <c r="M55" i="1" s="1"/>
  <c r="J53" i="1"/>
  <c r="H53" i="1"/>
  <c r="H55" i="1" s="1"/>
  <c r="F53" i="1"/>
  <c r="B53" i="1"/>
  <c r="B56" i="1" s="1"/>
  <c r="B59" i="1" s="1"/>
  <c r="AO52" i="1"/>
  <c r="AI52" i="1"/>
  <c r="AH52" i="1"/>
  <c r="AG52" i="1"/>
  <c r="AF52" i="1"/>
  <c r="AE52" i="1"/>
  <c r="AD52" i="1"/>
  <c r="AA52" i="1"/>
  <c r="Z52" i="1"/>
  <c r="Y52" i="1"/>
  <c r="X52" i="1"/>
  <c r="W52" i="1"/>
  <c r="V52" i="1"/>
  <c r="T52" i="1"/>
  <c r="S52" i="1"/>
  <c r="R52" i="1"/>
  <c r="Q52" i="1"/>
  <c r="P52" i="1"/>
  <c r="O52" i="1"/>
  <c r="N52" i="1"/>
  <c r="K52" i="1"/>
  <c r="J52" i="1"/>
  <c r="I52" i="1"/>
  <c r="H52" i="1"/>
  <c r="G52" i="1"/>
  <c r="F52" i="1"/>
  <c r="AK51" i="1"/>
  <c r="AJ51" i="1"/>
  <c r="AC51" i="1"/>
  <c r="AB51" i="1"/>
  <c r="U51" i="1"/>
  <c r="T51" i="1"/>
  <c r="M51" i="1"/>
  <c r="L51" i="1"/>
  <c r="AK50" i="1"/>
  <c r="AJ50" i="1"/>
  <c r="AC50" i="1"/>
  <c r="AC52" i="1" s="1"/>
  <c r="AB50" i="1"/>
  <c r="U50" i="1"/>
  <c r="U52" i="1" s="1"/>
  <c r="T50" i="1"/>
  <c r="M50" i="1"/>
  <c r="M52" i="1" s="1"/>
  <c r="L50" i="1"/>
  <c r="L52" i="1" s="1"/>
  <c r="AO49" i="1"/>
  <c r="AI49" i="1"/>
  <c r="AH49" i="1"/>
  <c r="AG49" i="1"/>
  <c r="AF49" i="1"/>
  <c r="AE49" i="1"/>
  <c r="AD49" i="1"/>
  <c r="AA49" i="1"/>
  <c r="Z49" i="1"/>
  <c r="Y49" i="1"/>
  <c r="X49" i="1"/>
  <c r="W49" i="1"/>
  <c r="V49" i="1"/>
  <c r="U49" i="1"/>
  <c r="S49" i="1"/>
  <c r="R49" i="1"/>
  <c r="Q49" i="1"/>
  <c r="P49" i="1"/>
  <c r="O49" i="1"/>
  <c r="N49" i="1"/>
  <c r="K49" i="1"/>
  <c r="J49" i="1"/>
  <c r="I49" i="1"/>
  <c r="H49" i="1"/>
  <c r="G49" i="1"/>
  <c r="F49" i="1"/>
  <c r="AK48" i="1"/>
  <c r="AJ48" i="1"/>
  <c r="AC48" i="1"/>
  <c r="AB48" i="1"/>
  <c r="U48" i="1"/>
  <c r="T48" i="1"/>
  <c r="M48" i="1"/>
  <c r="L48" i="1"/>
  <c r="AK47" i="1"/>
  <c r="AJ47" i="1"/>
  <c r="AJ49" i="1" s="1"/>
  <c r="AC47" i="1"/>
  <c r="AB47" i="1"/>
  <c r="AB49" i="1" s="1"/>
  <c r="U47" i="1"/>
  <c r="T47" i="1"/>
  <c r="T49" i="1" s="1"/>
  <c r="M47" i="1"/>
  <c r="L47" i="1"/>
  <c r="AL47" i="1" s="1"/>
  <c r="AO46" i="1"/>
  <c r="P46" i="1"/>
  <c r="H46" i="1"/>
  <c r="AJ45" i="1"/>
  <c r="AB45" i="1"/>
  <c r="T45" i="1"/>
  <c r="L45" i="1"/>
  <c r="L68" i="1" s="1"/>
  <c r="AI44" i="1"/>
  <c r="AI46" i="1" s="1"/>
  <c r="AH44" i="1"/>
  <c r="AH46" i="1" s="1"/>
  <c r="AG44" i="1"/>
  <c r="AG46" i="1" s="1"/>
  <c r="AF44" i="1"/>
  <c r="AF46" i="1" s="1"/>
  <c r="AE44" i="1"/>
  <c r="AE46" i="1" s="1"/>
  <c r="AD44" i="1"/>
  <c r="AD46" i="1" s="1"/>
  <c r="AA44" i="1"/>
  <c r="AA46" i="1" s="1"/>
  <c r="Z44" i="1"/>
  <c r="Z46" i="1" s="1"/>
  <c r="Y44" i="1"/>
  <c r="Y46" i="1" s="1"/>
  <c r="X44" i="1"/>
  <c r="X46" i="1" s="1"/>
  <c r="W44" i="1"/>
  <c r="W46" i="1" s="1"/>
  <c r="V44" i="1"/>
  <c r="V46" i="1" s="1"/>
  <c r="S44" i="1"/>
  <c r="R44" i="1"/>
  <c r="R46" i="1" s="1"/>
  <c r="Q44" i="1"/>
  <c r="P44" i="1"/>
  <c r="N44" i="1"/>
  <c r="N46" i="1" s="1"/>
  <c r="K44" i="1"/>
  <c r="J44" i="1"/>
  <c r="J46" i="1" s="1"/>
  <c r="H44" i="1"/>
  <c r="F44" i="1"/>
  <c r="F46" i="1" s="1"/>
  <c r="AK43" i="1"/>
  <c r="AJ43" i="1"/>
  <c r="AC43" i="1"/>
  <c r="AC44" i="1" s="1"/>
  <c r="AC45" i="1" s="1"/>
  <c r="AB43" i="1"/>
  <c r="T43" i="1"/>
  <c r="O43" i="1"/>
  <c r="U43" i="1" s="1"/>
  <c r="L43" i="1"/>
  <c r="AK42" i="1"/>
  <c r="AJ42" i="1"/>
  <c r="AC42" i="1"/>
  <c r="AB42" i="1"/>
  <c r="T42" i="1"/>
  <c r="O42" i="1"/>
  <c r="U42" i="1" s="1"/>
  <c r="U44" i="1" s="1"/>
  <c r="L42" i="1"/>
  <c r="K42" i="1"/>
  <c r="I42" i="1"/>
  <c r="I44" i="1" s="1"/>
  <c r="G42" i="1"/>
  <c r="G44" i="1" s="1"/>
  <c r="AO41" i="1"/>
  <c r="AI41" i="1"/>
  <c r="AH41" i="1"/>
  <c r="AG41" i="1"/>
  <c r="AF41" i="1"/>
  <c r="AE41" i="1"/>
  <c r="AD41" i="1"/>
  <c r="AA41" i="1"/>
  <c r="Z41" i="1"/>
  <c r="Y41" i="1"/>
  <c r="X41" i="1"/>
  <c r="W41" i="1"/>
  <c r="V41" i="1"/>
  <c r="S41" i="1"/>
  <c r="R41" i="1"/>
  <c r="Q41" i="1"/>
  <c r="P41" i="1"/>
  <c r="O41" i="1"/>
  <c r="N41" i="1"/>
  <c r="K41" i="1"/>
  <c r="J41" i="1"/>
  <c r="I41" i="1"/>
  <c r="H41" i="1"/>
  <c r="G41" i="1"/>
  <c r="F41" i="1"/>
  <c r="AJ40" i="1"/>
  <c r="AB40" i="1"/>
  <c r="T40" i="1"/>
  <c r="L40" i="1"/>
  <c r="AJ39" i="1"/>
  <c r="AJ41" i="1" s="1"/>
  <c r="AB39" i="1"/>
  <c r="T39" i="1"/>
  <c r="L39" i="1"/>
  <c r="AO38" i="1"/>
  <c r="AH38" i="1"/>
  <c r="AF38" i="1"/>
  <c r="AD38" i="1"/>
  <c r="Z38" i="1"/>
  <c r="X38" i="1"/>
  <c r="V38" i="1"/>
  <c r="R38" i="1"/>
  <c r="P38" i="1"/>
  <c r="N38" i="1"/>
  <c r="J38" i="1"/>
  <c r="H38" i="1"/>
  <c r="F38" i="1"/>
  <c r="AJ37" i="1"/>
  <c r="AB37" i="1"/>
  <c r="T37" i="1"/>
  <c r="L37" i="1"/>
  <c r="AK36" i="1"/>
  <c r="AK41" i="1" s="1"/>
  <c r="AJ36" i="1"/>
  <c r="AJ38" i="1" s="1"/>
  <c r="AC36" i="1"/>
  <c r="AC41" i="1" s="1"/>
  <c r="AB36" i="1"/>
  <c r="U36" i="1"/>
  <c r="U41" i="1" s="1"/>
  <c r="T36" i="1"/>
  <c r="T38" i="1" s="1"/>
  <c r="M36" i="1"/>
  <c r="M41" i="1" s="1"/>
  <c r="L36" i="1"/>
  <c r="L38" i="1" s="1"/>
  <c r="AO35" i="1"/>
  <c r="AK35" i="1"/>
  <c r="AI35" i="1"/>
  <c r="AH35" i="1"/>
  <c r="AG35" i="1"/>
  <c r="AF35" i="1"/>
  <c r="AE35" i="1"/>
  <c r="AD35" i="1"/>
  <c r="AA35" i="1"/>
  <c r="AA8" i="1" s="1"/>
  <c r="Z35" i="1"/>
  <c r="Y35" i="1"/>
  <c r="X35" i="1"/>
  <c r="W35" i="1"/>
  <c r="V35" i="1"/>
  <c r="S35" i="1"/>
  <c r="R35" i="1"/>
  <c r="Q35" i="1"/>
  <c r="P35" i="1"/>
  <c r="O35" i="1"/>
  <c r="N35" i="1"/>
  <c r="L35" i="1"/>
  <c r="K35" i="1"/>
  <c r="J35" i="1"/>
  <c r="I35" i="1"/>
  <c r="H35" i="1"/>
  <c r="G35" i="1"/>
  <c r="F35" i="1"/>
  <c r="AJ34" i="1"/>
  <c r="AB34" i="1"/>
  <c r="T34" i="1"/>
  <c r="L34" i="1"/>
  <c r="AJ33" i="1"/>
  <c r="AJ35" i="1" s="1"/>
  <c r="AB33" i="1"/>
  <c r="T33" i="1"/>
  <c r="L33" i="1"/>
  <c r="AO32" i="1"/>
  <c r="AH32" i="1"/>
  <c r="AF32" i="1"/>
  <c r="AD32" i="1"/>
  <c r="Z32" i="1"/>
  <c r="X32" i="1"/>
  <c r="V32" i="1"/>
  <c r="R32" i="1"/>
  <c r="P32" i="1"/>
  <c r="N32" i="1"/>
  <c r="J32" i="1"/>
  <c r="H32" i="1"/>
  <c r="F32" i="1"/>
  <c r="AJ31" i="1"/>
  <c r="AB31" i="1"/>
  <c r="T31" i="1"/>
  <c r="L31" i="1"/>
  <c r="AK30" i="1"/>
  <c r="AJ30" i="1"/>
  <c r="AC30" i="1"/>
  <c r="AC35" i="1" s="1"/>
  <c r="AB30" i="1"/>
  <c r="AB32" i="1" s="1"/>
  <c r="U30" i="1"/>
  <c r="U35" i="1" s="1"/>
  <c r="T30" i="1"/>
  <c r="M30" i="1"/>
  <c r="M35" i="1" s="1"/>
  <c r="L30" i="1"/>
  <c r="B30" i="1"/>
  <c r="B36" i="1" s="1"/>
  <c r="AO29" i="1"/>
  <c r="AI29" i="1"/>
  <c r="AH29" i="1"/>
  <c r="AG29" i="1"/>
  <c r="AF29" i="1"/>
  <c r="AE29" i="1"/>
  <c r="AD29" i="1"/>
  <c r="AA29" i="1"/>
  <c r="Z29" i="1"/>
  <c r="Y29" i="1"/>
  <c r="X29" i="1"/>
  <c r="W29" i="1"/>
  <c r="V29" i="1"/>
  <c r="S29" i="1"/>
  <c r="R29" i="1"/>
  <c r="Q29" i="1"/>
  <c r="P29" i="1"/>
  <c r="O29" i="1"/>
  <c r="N29" i="1"/>
  <c r="K29" i="1"/>
  <c r="J29" i="1"/>
  <c r="I29" i="1"/>
  <c r="H29" i="1"/>
  <c r="G29" i="1"/>
  <c r="F29" i="1"/>
  <c r="AK28" i="1"/>
  <c r="AJ28" i="1"/>
  <c r="AC28" i="1"/>
  <c r="AB28" i="1"/>
  <c r="U28" i="1"/>
  <c r="T28" i="1"/>
  <c r="M28" i="1"/>
  <c r="L28" i="1"/>
  <c r="AK27" i="1"/>
  <c r="AK29" i="1" s="1"/>
  <c r="AJ27" i="1"/>
  <c r="AJ29" i="1" s="1"/>
  <c r="AC27" i="1"/>
  <c r="AC29" i="1" s="1"/>
  <c r="AB27" i="1"/>
  <c r="AB29" i="1" s="1"/>
  <c r="U27" i="1"/>
  <c r="U29" i="1" s="1"/>
  <c r="T27" i="1"/>
  <c r="T29" i="1" s="1"/>
  <c r="M27" i="1"/>
  <c r="M29" i="1" s="1"/>
  <c r="L27" i="1"/>
  <c r="L29" i="1" s="1"/>
  <c r="AO26" i="1"/>
  <c r="AI26" i="1"/>
  <c r="AH26" i="1"/>
  <c r="AG26" i="1"/>
  <c r="AF26" i="1"/>
  <c r="AE26" i="1"/>
  <c r="AD26" i="1"/>
  <c r="AA26" i="1"/>
  <c r="Z26" i="1"/>
  <c r="Y26" i="1"/>
  <c r="X26" i="1"/>
  <c r="W26" i="1"/>
  <c r="V26" i="1"/>
  <c r="S26" i="1"/>
  <c r="R26" i="1"/>
  <c r="Q26" i="1"/>
  <c r="P26" i="1"/>
  <c r="O26" i="1"/>
  <c r="N26" i="1"/>
  <c r="K26" i="1"/>
  <c r="J26" i="1"/>
  <c r="I26" i="1"/>
  <c r="H26" i="1"/>
  <c r="G26" i="1"/>
  <c r="F26" i="1"/>
  <c r="AK25" i="1"/>
  <c r="AJ25" i="1"/>
  <c r="AC25" i="1"/>
  <c r="AB25" i="1"/>
  <c r="U25" i="1"/>
  <c r="M25" i="1"/>
  <c r="L25" i="1"/>
  <c r="AK24" i="1"/>
  <c r="AJ24" i="1"/>
  <c r="AC24" i="1"/>
  <c r="AB24" i="1"/>
  <c r="U24" i="1"/>
  <c r="M24" i="1"/>
  <c r="L24" i="1"/>
  <c r="AK23" i="1"/>
  <c r="AJ23" i="1"/>
  <c r="AC23" i="1"/>
  <c r="AB23" i="1"/>
  <c r="U23" i="1"/>
  <c r="T23" i="1"/>
  <c r="M23" i="1"/>
  <c r="L23" i="1"/>
  <c r="AK22" i="1"/>
  <c r="AJ22" i="1"/>
  <c r="AC22" i="1"/>
  <c r="AB22" i="1"/>
  <c r="T22" i="1"/>
  <c r="T26" i="1" s="1"/>
  <c r="M22" i="1"/>
  <c r="L22" i="1"/>
  <c r="B22" i="1"/>
  <c r="B24" i="1" s="1"/>
  <c r="AO21" i="1"/>
  <c r="AI21" i="1"/>
  <c r="AH21" i="1"/>
  <c r="AG21" i="1"/>
  <c r="AF21" i="1"/>
  <c r="AE21" i="1"/>
  <c r="AD21" i="1"/>
  <c r="AA21" i="1"/>
  <c r="Z21" i="1"/>
  <c r="Y21" i="1"/>
  <c r="X21" i="1"/>
  <c r="W21" i="1"/>
  <c r="V21" i="1"/>
  <c r="S21" i="1"/>
  <c r="Q21" i="1"/>
  <c r="P21" i="1"/>
  <c r="O21" i="1"/>
  <c r="K21" i="1"/>
  <c r="I21" i="1"/>
  <c r="G21" i="1"/>
  <c r="AK20" i="1"/>
  <c r="AJ20" i="1"/>
  <c r="AC20" i="1"/>
  <c r="AB20" i="1"/>
  <c r="U20" i="1"/>
  <c r="R20" i="1"/>
  <c r="T20" i="1" s="1"/>
  <c r="P20" i="1"/>
  <c r="N20" i="1"/>
  <c r="M20" i="1"/>
  <c r="J20" i="1"/>
  <c r="H20" i="1"/>
  <c r="F20" i="1"/>
  <c r="AK19" i="1"/>
  <c r="AK21" i="1" s="1"/>
  <c r="AJ19" i="1"/>
  <c r="AJ21" i="1" s="1"/>
  <c r="AC19" i="1"/>
  <c r="AB19" i="1"/>
  <c r="U19" i="1"/>
  <c r="T19" i="1"/>
  <c r="R19" i="1"/>
  <c r="P19" i="1"/>
  <c r="N19" i="1"/>
  <c r="N21" i="1" s="1"/>
  <c r="M19" i="1"/>
  <c r="M21" i="1" s="1"/>
  <c r="J19" i="1"/>
  <c r="H19" i="1"/>
  <c r="F19" i="1"/>
  <c r="F21" i="1" s="1"/>
  <c r="AO18" i="1"/>
  <c r="AI18" i="1"/>
  <c r="AH18" i="1"/>
  <c r="AG18" i="1"/>
  <c r="AF18" i="1"/>
  <c r="AE18" i="1"/>
  <c r="AD18" i="1"/>
  <c r="AA18" i="1"/>
  <c r="Z18" i="1"/>
  <c r="Y18" i="1"/>
  <c r="X18" i="1"/>
  <c r="W18" i="1"/>
  <c r="V18" i="1"/>
  <c r="R18" i="1"/>
  <c r="Q18" i="1"/>
  <c r="P18" i="1"/>
  <c r="O18" i="1"/>
  <c r="N18" i="1"/>
  <c r="K18" i="1"/>
  <c r="J18" i="1"/>
  <c r="I18" i="1"/>
  <c r="H18" i="1"/>
  <c r="G18" i="1"/>
  <c r="F18" i="1"/>
  <c r="AK17" i="1"/>
  <c r="AJ17" i="1"/>
  <c r="AC17" i="1"/>
  <c r="AB17" i="1"/>
  <c r="T17" i="1"/>
  <c r="S17" i="1"/>
  <c r="U17" i="1" s="1"/>
  <c r="M17" i="1"/>
  <c r="L17" i="1"/>
  <c r="AK16" i="1"/>
  <c r="AJ16" i="1"/>
  <c r="AJ18" i="1" s="1"/>
  <c r="AC16" i="1"/>
  <c r="AC18" i="1" s="1"/>
  <c r="AB16" i="1"/>
  <c r="T16" i="1"/>
  <c r="T18" i="1" s="1"/>
  <c r="S16" i="1"/>
  <c r="S18" i="1" s="1"/>
  <c r="M16" i="1"/>
  <c r="L16" i="1"/>
  <c r="AO15" i="1"/>
  <c r="AI15" i="1"/>
  <c r="AH15" i="1"/>
  <c r="AG15" i="1"/>
  <c r="AF15" i="1"/>
  <c r="AE15" i="1"/>
  <c r="AD15" i="1"/>
  <c r="AA15" i="1"/>
  <c r="Z15" i="1"/>
  <c r="Y15" i="1"/>
  <c r="X15" i="1"/>
  <c r="W15" i="1"/>
  <c r="V15" i="1"/>
  <c r="S15" i="1"/>
  <c r="R15" i="1"/>
  <c r="Q15" i="1"/>
  <c r="P15" i="1"/>
  <c r="O15" i="1"/>
  <c r="N15" i="1"/>
  <c r="K15" i="1"/>
  <c r="J15" i="1"/>
  <c r="I15" i="1"/>
  <c r="H15" i="1"/>
  <c r="G15" i="1"/>
  <c r="F15" i="1"/>
  <c r="AK14" i="1"/>
  <c r="AJ14" i="1"/>
  <c r="AC14" i="1"/>
  <c r="AB14" i="1"/>
  <c r="U14" i="1"/>
  <c r="T14" i="1"/>
  <c r="M14" i="1"/>
  <c r="L14" i="1"/>
  <c r="AK13" i="1"/>
  <c r="AK15" i="1" s="1"/>
  <c r="AJ13" i="1"/>
  <c r="AC13" i="1"/>
  <c r="AB13" i="1"/>
  <c r="U13" i="1"/>
  <c r="U15" i="1" s="1"/>
  <c r="T13" i="1"/>
  <c r="M13" i="1"/>
  <c r="M15" i="1" s="1"/>
  <c r="L13" i="1"/>
  <c r="L15" i="1" s="1"/>
  <c r="B13" i="1"/>
  <c r="B16" i="1" s="1"/>
  <c r="A13" i="1"/>
  <c r="A16" i="1" s="1"/>
  <c r="A19" i="1" s="1"/>
  <c r="A22" i="1" s="1"/>
  <c r="A27" i="1" s="1"/>
  <c r="A30" i="1" s="1"/>
  <c r="A33" i="1" s="1"/>
  <c r="A36" i="1" s="1"/>
  <c r="A39" i="1" s="1"/>
  <c r="A42" i="1" s="1"/>
  <c r="A47" i="1" s="1"/>
  <c r="A50" i="1" s="1"/>
  <c r="A53" i="1" s="1"/>
  <c r="A56" i="1" s="1"/>
  <c r="A59" i="1" s="1"/>
  <c r="A62" i="1" s="1"/>
  <c r="A70" i="1" s="1"/>
  <c r="A73" i="1" s="1"/>
  <c r="A76" i="1" s="1"/>
  <c r="A79" i="1" s="1"/>
  <c r="A82" i="1" s="1"/>
  <c r="A85" i="1" s="1"/>
  <c r="A88" i="1" s="1"/>
  <c r="A93" i="1" s="1"/>
  <c r="A96" i="1" s="1"/>
  <c r="A99" i="1" s="1"/>
  <c r="A103" i="1" s="1"/>
  <c r="A106" i="1" s="1"/>
  <c r="A109" i="1" s="1"/>
  <c r="A113" i="1" s="1"/>
  <c r="A117" i="1" s="1"/>
  <c r="A125" i="1" s="1"/>
  <c r="A128" i="1" s="1"/>
  <c r="A132" i="1" s="1"/>
  <c r="A135" i="1" s="1"/>
  <c r="A140" i="1" s="1"/>
  <c r="A143" i="1" s="1"/>
  <c r="A147" i="1" s="1"/>
  <c r="A150" i="1" s="1"/>
  <c r="A154" i="1" s="1"/>
  <c r="A160" i="1" s="1"/>
  <c r="A164" i="1" s="1"/>
  <c r="A168" i="1" s="1"/>
  <c r="A171" i="1" s="1"/>
  <c r="A175" i="1" s="1"/>
  <c r="A179" i="1" s="1"/>
  <c r="A188" i="1" s="1"/>
  <c r="A191" i="1" s="1"/>
  <c r="A195" i="1" s="1"/>
  <c r="A198" i="1" s="1"/>
  <c r="AO12" i="1"/>
  <c r="AI12" i="1"/>
  <c r="AH12" i="1"/>
  <c r="AG12" i="1"/>
  <c r="AF12" i="1"/>
  <c r="AE12" i="1"/>
  <c r="AD12" i="1"/>
  <c r="AA12" i="1"/>
  <c r="Z12" i="1"/>
  <c r="Y12" i="1"/>
  <c r="X12" i="1"/>
  <c r="W12" i="1"/>
  <c r="V12" i="1"/>
  <c r="N12" i="1"/>
  <c r="AK11" i="1"/>
  <c r="AJ11" i="1"/>
  <c r="AC11" i="1"/>
  <c r="AB11" i="1"/>
  <c r="S11" i="1"/>
  <c r="R11" i="1"/>
  <c r="R12" i="1" s="1"/>
  <c r="P11" i="1"/>
  <c r="T11" i="1" s="1"/>
  <c r="O11" i="1"/>
  <c r="U11" i="1" s="1"/>
  <c r="K11" i="1"/>
  <c r="J11" i="1"/>
  <c r="J12" i="1" s="1"/>
  <c r="I11" i="1"/>
  <c r="H11" i="1"/>
  <c r="H12" i="1" s="1"/>
  <c r="G11" i="1"/>
  <c r="F11" i="1"/>
  <c r="F12" i="1" s="1"/>
  <c r="AK10" i="1"/>
  <c r="AK12" i="1" s="1"/>
  <c r="AJ10" i="1"/>
  <c r="AC10" i="1"/>
  <c r="AB10" i="1"/>
  <c r="T10" i="1"/>
  <c r="T12" i="1" s="1"/>
  <c r="S10" i="1"/>
  <c r="S12" i="1" s="1"/>
  <c r="Q10" i="1"/>
  <c r="O10" i="1"/>
  <c r="O12" i="1" s="1"/>
  <c r="K10" i="1"/>
  <c r="K12" i="1" s="1"/>
  <c r="J10" i="1"/>
  <c r="L10" i="1" s="1"/>
  <c r="I10" i="1"/>
  <c r="G10" i="1"/>
  <c r="Y8" i="1"/>
  <c r="X8" i="1" l="1"/>
  <c r="AL40" i="1"/>
  <c r="AB38" i="1"/>
  <c r="AB35" i="1"/>
  <c r="L49" i="1"/>
  <c r="M75" i="1"/>
  <c r="AL76" i="1"/>
  <c r="AL78" i="1" s="1"/>
  <c r="AP78" i="1" s="1"/>
  <c r="L87" i="1"/>
  <c r="AL88" i="1"/>
  <c r="L98" i="1"/>
  <c r="L105" i="1"/>
  <c r="M115" i="1"/>
  <c r="AM114" i="1"/>
  <c r="M130" i="1"/>
  <c r="M134" i="1"/>
  <c r="AK142" i="1"/>
  <c r="U170" i="1"/>
  <c r="T202" i="1"/>
  <c r="P12" i="1"/>
  <c r="P8" i="1" s="1"/>
  <c r="AM47" i="1"/>
  <c r="AC49" i="1"/>
  <c r="I69" i="1"/>
  <c r="Q69" i="1"/>
  <c r="AK69" i="1"/>
  <c r="M66" i="1"/>
  <c r="U75" i="1"/>
  <c r="M78" i="1"/>
  <c r="M83" i="1"/>
  <c r="AM83" i="1" s="1"/>
  <c r="AM121" i="1"/>
  <c r="L142" i="1"/>
  <c r="L170" i="1"/>
  <c r="L169" i="1"/>
  <c r="AL169" i="1" s="1"/>
  <c r="F170" i="1"/>
  <c r="AM169" i="1"/>
  <c r="AM170" i="1" s="1"/>
  <c r="AB186" i="1"/>
  <c r="AK190" i="1"/>
  <c r="M193" i="1"/>
  <c r="AM191" i="1"/>
  <c r="U202" i="1"/>
  <c r="I12" i="1"/>
  <c r="U10" i="1"/>
  <c r="U12" i="1" s="1"/>
  <c r="AC12" i="1"/>
  <c r="M11" i="1"/>
  <c r="L18" i="1"/>
  <c r="AM19" i="1"/>
  <c r="U21" i="1"/>
  <c r="AM28" i="1"/>
  <c r="AL37" i="1"/>
  <c r="T44" i="1"/>
  <c r="T46" i="1" s="1"/>
  <c r="AK44" i="1"/>
  <c r="AK46" i="1" s="1"/>
  <c r="AL45" i="1"/>
  <c r="AK52" i="1"/>
  <c r="M67" i="1"/>
  <c r="S69" i="1"/>
  <c r="T78" i="1"/>
  <c r="AJ81" i="1"/>
  <c r="T82" i="1"/>
  <c r="T84" i="1" s="1"/>
  <c r="T92" i="1"/>
  <c r="AL90" i="1"/>
  <c r="AL91" i="1"/>
  <c r="I108" i="1"/>
  <c r="M107" i="1"/>
  <c r="AM107" i="1" s="1"/>
  <c r="AM141" i="1"/>
  <c r="AB145" i="1"/>
  <c r="AB8" i="1" s="1"/>
  <c r="Q166" i="1"/>
  <c r="AJ12" i="1"/>
  <c r="AG8" i="1"/>
  <c r="AE8" i="1"/>
  <c r="AL34" i="1"/>
  <c r="AB44" i="1"/>
  <c r="AB46" i="1" s="1"/>
  <c r="L44" i="1"/>
  <c r="L46" i="1" s="1"/>
  <c r="AK49" i="1"/>
  <c r="T54" i="1"/>
  <c r="L58" i="1"/>
  <c r="T58" i="1"/>
  <c r="U63" i="1"/>
  <c r="M105" i="1"/>
  <c r="K108" i="1"/>
  <c r="G108" i="1"/>
  <c r="L130" i="1"/>
  <c r="AL132" i="1"/>
  <c r="L134" i="1"/>
  <c r="AM136" i="1"/>
  <c r="AM137" i="1"/>
  <c r="AM154" i="1"/>
  <c r="M150" i="1"/>
  <c r="AM155" i="1"/>
  <c r="AM157" i="1"/>
  <c r="AL161" i="1"/>
  <c r="U166" i="1"/>
  <c r="AM168" i="1"/>
  <c r="M170" i="1"/>
  <c r="T186" i="1"/>
  <c r="AM196" i="1"/>
  <c r="L202" i="1"/>
  <c r="AF8" i="1"/>
  <c r="AK18" i="1"/>
  <c r="J21" i="1"/>
  <c r="R21" i="1"/>
  <c r="L20" i="1"/>
  <c r="AL20" i="1" s="1"/>
  <c r="T32" i="1"/>
  <c r="AI8" i="1"/>
  <c r="M42" i="1"/>
  <c r="AJ44" i="1"/>
  <c r="AJ46" i="1" s="1"/>
  <c r="AJ52" i="1"/>
  <c r="G58" i="1"/>
  <c r="AJ58" i="1"/>
  <c r="M57" i="1"/>
  <c r="AJ61" i="1"/>
  <c r="L69" i="1"/>
  <c r="AL65" i="1"/>
  <c r="AK75" i="1"/>
  <c r="AM77" i="1"/>
  <c r="AM78" i="1" s="1"/>
  <c r="I84" i="1"/>
  <c r="AM91" i="1"/>
  <c r="AK98" i="1"/>
  <c r="AK101" i="1"/>
  <c r="M106" i="1"/>
  <c r="AL120" i="1"/>
  <c r="AL138" i="1"/>
  <c r="AK149" i="1"/>
  <c r="AC152" i="1"/>
  <c r="G152" i="1"/>
  <c r="AK158" i="1"/>
  <c r="M162" i="1"/>
  <c r="AK173" i="1"/>
  <c r="U186" i="1"/>
  <c r="AJ190" i="1"/>
  <c r="L193" i="1"/>
  <c r="M202" i="1"/>
  <c r="AM201" i="1"/>
  <c r="AM97" i="1"/>
  <c r="AC95" i="1"/>
  <c r="AM94" i="1"/>
  <c r="AM80" i="1"/>
  <c r="AM81" i="1" s="1"/>
  <c r="AC81" i="1"/>
  <c r="AC21" i="1"/>
  <c r="AB21" i="1"/>
  <c r="AL119" i="1"/>
  <c r="AC87" i="1"/>
  <c r="AM86" i="1"/>
  <c r="AC15" i="1"/>
  <c r="AM14" i="1"/>
  <c r="AC139" i="1"/>
  <c r="AL136" i="1"/>
  <c r="AB139" i="1"/>
  <c r="AC61" i="1"/>
  <c r="AM90" i="1"/>
  <c r="AL92" i="1"/>
  <c r="AP92" i="1" s="1"/>
  <c r="AB84" i="1"/>
  <c r="AL83" i="1"/>
  <c r="AB12" i="1"/>
  <c r="AL10" i="1"/>
  <c r="AB81" i="1"/>
  <c r="AL80" i="1"/>
  <c r="AC123" i="1"/>
  <c r="AL121" i="1"/>
  <c r="AB123" i="1"/>
  <c r="AC149" i="1"/>
  <c r="AB149" i="1"/>
  <c r="AL67" i="1"/>
  <c r="AB177" i="1"/>
  <c r="AL176" i="1"/>
  <c r="AM23" i="1"/>
  <c r="AM25" i="1"/>
  <c r="AM24" i="1"/>
  <c r="AC26" i="1"/>
  <c r="AL25" i="1"/>
  <c r="AB26" i="1"/>
  <c r="AL24" i="1"/>
  <c r="AL22" i="1"/>
  <c r="AB18" i="1"/>
  <c r="AC158" i="1"/>
  <c r="AM156" i="1"/>
  <c r="AL157" i="1"/>
  <c r="AL110" i="1"/>
  <c r="AL114" i="1"/>
  <c r="AM54" i="1"/>
  <c r="AB130" i="1"/>
  <c r="W108" i="1"/>
  <c r="AC107" i="1"/>
  <c r="AL31" i="1"/>
  <c r="AB105" i="1"/>
  <c r="AM50" i="1"/>
  <c r="AL51" i="1"/>
  <c r="AB52" i="1"/>
  <c r="AC58" i="1"/>
  <c r="W58" i="1"/>
  <c r="AL57" i="1"/>
  <c r="AL71" i="1"/>
  <c r="AL72" i="1" s="1"/>
  <c r="AP72" i="1" s="1"/>
  <c r="AB72" i="1"/>
  <c r="U65" i="1"/>
  <c r="AM65" i="1" s="1"/>
  <c r="AL63" i="1"/>
  <c r="AL66" i="1"/>
  <c r="AL50" i="1"/>
  <c r="T68" i="1"/>
  <c r="T69" i="1" s="1"/>
  <c r="R69" i="1"/>
  <c r="R8" i="1" s="1"/>
  <c r="F108" i="1"/>
  <c r="L107" i="1"/>
  <c r="AM135" i="1"/>
  <c r="AM139" i="1" s="1"/>
  <c r="AK139" i="1"/>
  <c r="AL13" i="1"/>
  <c r="M18" i="1"/>
  <c r="AM17" i="1"/>
  <c r="AM60" i="1"/>
  <c r="AM73" i="1"/>
  <c r="AH8" i="1"/>
  <c r="AL14" i="1"/>
  <c r="U16" i="1"/>
  <c r="T35" i="1"/>
  <c r="L53" i="1"/>
  <c r="F55" i="1"/>
  <c r="G61" i="1"/>
  <c r="M59" i="1"/>
  <c r="U59" i="1"/>
  <c r="U61" i="1" s="1"/>
  <c r="U82" i="1"/>
  <c r="U84" i="1" s="1"/>
  <c r="O84" i="1"/>
  <c r="M186" i="1"/>
  <c r="L11" i="1"/>
  <c r="AL11" i="1" s="1"/>
  <c r="Z8" i="1"/>
  <c r="T15" i="1"/>
  <c r="L19" i="1"/>
  <c r="AK26" i="1"/>
  <c r="AL39" i="1"/>
  <c r="AL41" i="1" s="1"/>
  <c r="AP41" i="1" s="1"/>
  <c r="AM51" i="1"/>
  <c r="AL141" i="1"/>
  <c r="AL73" i="1"/>
  <c r="H21" i="1"/>
  <c r="H8" i="1" s="1"/>
  <c r="AL60" i="1"/>
  <c r="S108" i="1"/>
  <c r="U106" i="1"/>
  <c r="Q12" i="1"/>
  <c r="AM22" i="1"/>
  <c r="AM48" i="1"/>
  <c r="AM49" i="1" s="1"/>
  <c r="J55" i="1"/>
  <c r="U57" i="1"/>
  <c r="AM57" i="1" s="1"/>
  <c r="S58" i="1"/>
  <c r="L82" i="1"/>
  <c r="F84" i="1"/>
  <c r="F8" i="1"/>
  <c r="AB15" i="1"/>
  <c r="AM20" i="1"/>
  <c r="M26" i="1"/>
  <c r="L26" i="1"/>
  <c r="AL23" i="1"/>
  <c r="AL28" i="1"/>
  <c r="AJ32" i="1"/>
  <c r="AL33" i="1"/>
  <c r="AL35" i="1" s="1"/>
  <c r="AP35" i="1" s="1"/>
  <c r="AM64" i="1"/>
  <c r="M99" i="1"/>
  <c r="G101" i="1"/>
  <c r="AL128" i="1"/>
  <c r="AL129" i="1"/>
  <c r="U148" i="1"/>
  <c r="AM148" i="1" s="1"/>
  <c r="T21" i="1"/>
  <c r="AL59" i="1"/>
  <c r="T61" i="1"/>
  <c r="AM11" i="1"/>
  <c r="AD8" i="1"/>
  <c r="AL16" i="1"/>
  <c r="AJ26" i="1"/>
  <c r="AM27" i="1"/>
  <c r="AM29" i="1" s="1"/>
  <c r="AL36" i="1"/>
  <c r="AL42" i="1"/>
  <c r="O44" i="1"/>
  <c r="I58" i="1"/>
  <c r="M56" i="1"/>
  <c r="AB69" i="1"/>
  <c r="AL62" i="1"/>
  <c r="O72" i="1"/>
  <c r="U70" i="1"/>
  <c r="N84" i="1"/>
  <c r="N8" i="1" s="1"/>
  <c r="AL99" i="1"/>
  <c r="N108" i="1"/>
  <c r="T107" i="1"/>
  <c r="T108" i="1" s="1"/>
  <c r="AM129" i="1"/>
  <c r="AM130" i="1" s="1"/>
  <c r="M140" i="1"/>
  <c r="G142" i="1"/>
  <c r="U140" i="1"/>
  <c r="U142" i="1" s="1"/>
  <c r="AL188" i="1"/>
  <c r="AL190" i="1" s="1"/>
  <c r="AP190" i="1" s="1"/>
  <c r="AL17" i="1"/>
  <c r="AM53" i="1"/>
  <c r="U55" i="1"/>
  <c r="G12" i="1"/>
  <c r="M10" i="1"/>
  <c r="AJ15" i="1"/>
  <c r="U26" i="1"/>
  <c r="AL30" i="1"/>
  <c r="AM30" i="1"/>
  <c r="AM35" i="1" s="1"/>
  <c r="L32" i="1"/>
  <c r="AL43" i="1"/>
  <c r="AC46" i="1"/>
  <c r="AL56" i="1"/>
  <c r="AL58" i="1" s="1"/>
  <c r="AP58" i="1" s="1"/>
  <c r="G69" i="1"/>
  <c r="M62" i="1"/>
  <c r="AJ69" i="1"/>
  <c r="U107" i="1"/>
  <c r="O108" i="1"/>
  <c r="AM117" i="1"/>
  <c r="AJ139" i="1"/>
  <c r="AL135" i="1"/>
  <c r="AL148" i="1"/>
  <c r="T149" i="1"/>
  <c r="S152" i="1"/>
  <c r="U150" i="1"/>
  <c r="AM188" i="1"/>
  <c r="AM36" i="1"/>
  <c r="AM41" i="1" s="1"/>
  <c r="AL48" i="1"/>
  <c r="AL49" i="1" s="1"/>
  <c r="AP49" i="1" s="1"/>
  <c r="G72" i="1"/>
  <c r="AL74" i="1"/>
  <c r="O75" i="1"/>
  <c r="AL79" i="1"/>
  <c r="G84" i="1"/>
  <c r="Q84" i="1"/>
  <c r="AM105" i="1"/>
  <c r="M108" i="1"/>
  <c r="AM115" i="1"/>
  <c r="AM122" i="1"/>
  <c r="AL143" i="1"/>
  <c r="AB158" i="1"/>
  <c r="L162" i="1"/>
  <c r="AM171" i="1"/>
  <c r="AM173" i="1" s="1"/>
  <c r="AM189" i="1"/>
  <c r="M49" i="1"/>
  <c r="O69" i="1"/>
  <c r="AB92" i="1"/>
  <c r="AL160" i="1"/>
  <c r="AL162" i="1" s="1"/>
  <c r="AP162" i="1" s="1"/>
  <c r="L173" i="1"/>
  <c r="AM13" i="1"/>
  <c r="AM15" i="1" s="1"/>
  <c r="AL27" i="1"/>
  <c r="AL29" i="1" s="1"/>
  <c r="AP29" i="1" s="1"/>
  <c r="L41" i="1"/>
  <c r="M63" i="1"/>
  <c r="AM63" i="1" s="1"/>
  <c r="AL64" i="1"/>
  <c r="U67" i="1"/>
  <c r="AB75" i="1"/>
  <c r="AB78" i="1"/>
  <c r="AL117" i="1"/>
  <c r="AL133" i="1"/>
  <c r="AL144" i="1"/>
  <c r="AM164" i="1"/>
  <c r="AM179" i="1"/>
  <c r="AM74" i="1"/>
  <c r="T41" i="1"/>
  <c r="AK61" i="1"/>
  <c r="AC75" i="1"/>
  <c r="M81" i="1"/>
  <c r="AM85" i="1"/>
  <c r="AM87" i="1" s="1"/>
  <c r="AB101" i="1"/>
  <c r="AM100" i="1"/>
  <c r="M123" i="1"/>
  <c r="AL118" i="1"/>
  <c r="AM132" i="1"/>
  <c r="AM133" i="1"/>
  <c r="O149" i="1"/>
  <c r="AL165" i="1"/>
  <c r="AL180" i="1"/>
  <c r="AK193" i="1"/>
  <c r="AL198" i="1"/>
  <c r="AL199" i="1"/>
  <c r="AL200" i="1"/>
  <c r="T115" i="1"/>
  <c r="AL137" i="1"/>
  <c r="T139" i="1"/>
  <c r="AM143" i="1"/>
  <c r="AL164" i="1"/>
  <c r="AL179" i="1"/>
  <c r="AB41" i="1"/>
  <c r="T53" i="1"/>
  <c r="T55" i="1" s="1"/>
  <c r="L54" i="1"/>
  <c r="AC62" i="1"/>
  <c r="AC69" i="1" s="1"/>
  <c r="U62" i="1"/>
  <c r="U66" i="1"/>
  <c r="AM66" i="1" s="1"/>
  <c r="M70" i="1"/>
  <c r="U71" i="1"/>
  <c r="AM71" i="1" s="1"/>
  <c r="AJ75" i="1"/>
  <c r="M82" i="1"/>
  <c r="U98" i="1"/>
  <c r="AM96" i="1"/>
  <c r="AM98" i="1" s="1"/>
  <c r="T123" i="1"/>
  <c r="M151" i="1"/>
  <c r="AM151" i="1" s="1"/>
  <c r="AL154" i="1"/>
  <c r="AM165" i="1"/>
  <c r="AM180" i="1"/>
  <c r="AL191" i="1"/>
  <c r="AL193" i="1" s="1"/>
  <c r="AP193" i="1" s="1"/>
  <c r="AL201" i="1"/>
  <c r="R84" i="1"/>
  <c r="M92" i="1"/>
  <c r="AM88" i="1"/>
  <c r="AL94" i="1"/>
  <c r="AL96" i="1"/>
  <c r="AB108" i="1"/>
  <c r="AM110" i="1"/>
  <c r="AL126" i="1"/>
  <c r="J139" i="1"/>
  <c r="AM160" i="1"/>
  <c r="AM161" i="1"/>
  <c r="AB166" i="1"/>
  <c r="AL183" i="1"/>
  <c r="AM192" i="1"/>
  <c r="AM193" i="1" s="1"/>
  <c r="AM198" i="1"/>
  <c r="AM199" i="1"/>
  <c r="AM200" i="1"/>
  <c r="K84" i="1"/>
  <c r="K8" i="1" s="1"/>
  <c r="S84" i="1"/>
  <c r="AM93" i="1"/>
  <c r="AM95" i="1" s="1"/>
  <c r="AL97" i="1"/>
  <c r="T101" i="1"/>
  <c r="AL103" i="1"/>
  <c r="AC108" i="1"/>
  <c r="AJ123" i="1"/>
  <c r="AM126" i="1"/>
  <c r="AM144" i="1"/>
  <c r="AL147" i="1"/>
  <c r="AL149" i="1" s="1"/>
  <c r="AP149" i="1" s="1"/>
  <c r="I152" i="1"/>
  <c r="AB152" i="1"/>
  <c r="AL151" i="1"/>
  <c r="T158" i="1"/>
  <c r="AC166" i="1"/>
  <c r="AL175" i="1"/>
  <c r="AL177" i="1" s="1"/>
  <c r="AP177" i="1" s="1"/>
  <c r="AJ181" i="1"/>
  <c r="AM183" i="1"/>
  <c r="AL184" i="1"/>
  <c r="AB193" i="1"/>
  <c r="AL85" i="1"/>
  <c r="AL87" i="1" s="1"/>
  <c r="AP87" i="1" s="1"/>
  <c r="AL86" i="1"/>
  <c r="U92" i="1"/>
  <c r="AL100" i="1"/>
  <c r="AL104" i="1"/>
  <c r="AL106" i="1"/>
  <c r="AJ108" i="1"/>
  <c r="AK123" i="1"/>
  <c r="AL140" i="1"/>
  <c r="AM147" i="1"/>
  <c r="K152" i="1"/>
  <c r="U158" i="1"/>
  <c r="AJ166" i="1"/>
  <c r="AM175" i="1"/>
  <c r="AM177" i="1" s="1"/>
  <c r="AK181" i="1"/>
  <c r="AM184" i="1"/>
  <c r="AC193" i="1"/>
  <c r="AL195" i="1"/>
  <c r="AL197" i="1" s="1"/>
  <c r="AP197" i="1" s="1"/>
  <c r="AL109" i="1"/>
  <c r="L123" i="1"/>
  <c r="AL125" i="1"/>
  <c r="AL168" i="1"/>
  <c r="AL170" i="1" s="1"/>
  <c r="AP170" i="1" s="1"/>
  <c r="AM195" i="1"/>
  <c r="AL93" i="1"/>
  <c r="L108" i="1"/>
  <c r="AM109" i="1"/>
  <c r="AL113" i="1"/>
  <c r="AM125" i="1"/>
  <c r="AM127" i="1" s="1"/>
  <c r="L158" i="1"/>
  <c r="AL150" i="1"/>
  <c r="AL38" i="1" l="1"/>
  <c r="AP38" i="1" s="1"/>
  <c r="AL111" i="1"/>
  <c r="AP111" i="1" s="1"/>
  <c r="I8" i="1"/>
  <c r="AL12" i="1"/>
  <c r="AP12" i="1" s="1"/>
  <c r="AM186" i="1"/>
  <c r="AL158" i="1"/>
  <c r="AP158" i="1" s="1"/>
  <c r="AL54" i="1"/>
  <c r="AL166" i="1"/>
  <c r="AP166" i="1" s="1"/>
  <c r="AL68" i="1"/>
  <c r="AL69" i="1" s="1"/>
  <c r="AP69" i="1" s="1"/>
  <c r="AL134" i="1"/>
  <c r="AP134" i="1" s="1"/>
  <c r="AM67" i="1"/>
  <c r="AM190" i="1"/>
  <c r="AJ8" i="1"/>
  <c r="AM21" i="1"/>
  <c r="AL52" i="1"/>
  <c r="AP52" i="1" s="1"/>
  <c r="AM158" i="1"/>
  <c r="AM42" i="1"/>
  <c r="AM44" i="1" s="1"/>
  <c r="M44" i="1"/>
  <c r="AM197" i="1"/>
  <c r="J8" i="1"/>
  <c r="AK8" i="1"/>
  <c r="AM92" i="1"/>
  <c r="O8" i="1"/>
  <c r="AL139" i="1"/>
  <c r="AP139" i="1" s="1"/>
  <c r="U58" i="1"/>
  <c r="S8" i="1"/>
  <c r="AL145" i="1"/>
  <c r="AM181" i="1"/>
  <c r="AL181" i="1"/>
  <c r="AP181" i="1" s="1"/>
  <c r="AL127" i="1"/>
  <c r="AP127" i="1" s="1"/>
  <c r="AL142" i="1"/>
  <c r="AP142" i="1" s="1"/>
  <c r="AL152" i="1"/>
  <c r="AP152" i="1" s="1"/>
  <c r="AL98" i="1"/>
  <c r="AP98" i="1" s="1"/>
  <c r="AL81" i="1"/>
  <c r="AP81" i="1" s="1"/>
  <c r="AM26" i="1"/>
  <c r="AL26" i="1"/>
  <c r="AP26" i="1" s="1"/>
  <c r="AL202" i="1"/>
  <c r="AP202" i="1" s="1"/>
  <c r="AL115" i="1"/>
  <c r="AP115" i="1" s="1"/>
  <c r="AM55" i="1"/>
  <c r="AL130" i="1"/>
  <c r="AP130" i="1" s="1"/>
  <c r="AL32" i="1"/>
  <c r="AP32" i="1" s="1"/>
  <c r="AM134" i="1"/>
  <c r="AM52" i="1"/>
  <c r="T8" i="1"/>
  <c r="U18" i="1"/>
  <c r="AM16" i="1"/>
  <c r="AM18" i="1" s="1"/>
  <c r="AM56" i="1"/>
  <c r="AM58" i="1" s="1"/>
  <c r="M58" i="1"/>
  <c r="L12" i="1"/>
  <c r="AL186" i="1"/>
  <c r="AP186" i="1" s="1"/>
  <c r="M69" i="1"/>
  <c r="AM62" i="1"/>
  <c r="AM69" i="1" s="1"/>
  <c r="AM99" i="1"/>
  <c r="AM101" i="1" s="1"/>
  <c r="M101" i="1"/>
  <c r="M61" i="1"/>
  <c r="AM59" i="1"/>
  <c r="AM61" i="1" s="1"/>
  <c r="AL18" i="1"/>
  <c r="AP18" i="1" s="1"/>
  <c r="AL75" i="1"/>
  <c r="AP75" i="1" s="1"/>
  <c r="AM111" i="1"/>
  <c r="AM149" i="1"/>
  <c r="AM123" i="1"/>
  <c r="M12" i="1"/>
  <c r="AM10" i="1"/>
  <c r="AM12" i="1" s="1"/>
  <c r="U149" i="1"/>
  <c r="AL101" i="1"/>
  <c r="AP101" i="1" s="1"/>
  <c r="M152" i="1"/>
  <c r="L21" i="1"/>
  <c r="AL19" i="1"/>
  <c r="AL21" i="1" s="1"/>
  <c r="AP21" i="1" s="1"/>
  <c r="AM145" i="1"/>
  <c r="AM162" i="1"/>
  <c r="AM166" i="1"/>
  <c r="AM202" i="1"/>
  <c r="AM82" i="1"/>
  <c r="AM84" i="1" s="1"/>
  <c r="M84" i="1"/>
  <c r="M72" i="1"/>
  <c r="AM70" i="1"/>
  <c r="AM72" i="1" s="1"/>
  <c r="U69" i="1"/>
  <c r="AL15" i="1"/>
  <c r="AP15" i="1" s="1"/>
  <c r="AL105" i="1"/>
  <c r="AP105" i="1" s="1"/>
  <c r="G8" i="1"/>
  <c r="Q8" i="1"/>
  <c r="AL53" i="1"/>
  <c r="AL55" i="1" s="1"/>
  <c r="AP55" i="1" s="1"/>
  <c r="L55" i="1"/>
  <c r="AL95" i="1"/>
  <c r="AP95" i="1" s="1"/>
  <c r="AL123" i="1"/>
  <c r="AP123" i="1" s="1"/>
  <c r="AM150" i="1"/>
  <c r="AM152" i="1" s="1"/>
  <c r="U152" i="1"/>
  <c r="AL44" i="1"/>
  <c r="AL46" i="1" s="1"/>
  <c r="AP46" i="1" s="1"/>
  <c r="L84" i="1"/>
  <c r="AL82" i="1"/>
  <c r="AL84" i="1" s="1"/>
  <c r="AP84" i="1" s="1"/>
  <c r="AM75" i="1"/>
  <c r="AL107" i="1"/>
  <c r="AL108" i="1" s="1"/>
  <c r="AP108" i="1" s="1"/>
  <c r="AM140" i="1"/>
  <c r="AM142" i="1" s="1"/>
  <c r="M142" i="1"/>
  <c r="U72" i="1"/>
  <c r="AL61" i="1"/>
  <c r="AP61" i="1" s="1"/>
  <c r="U108" i="1"/>
  <c r="AM106" i="1"/>
  <c r="AM108" i="1" s="1"/>
  <c r="AM8" i="1" l="1"/>
  <c r="AP145" i="1"/>
  <c r="AL8" i="1"/>
  <c r="L8" i="1"/>
  <c r="M8" i="1"/>
  <c r="U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usser01</author>
  </authors>
  <commentList>
    <comment ref="A13" authorId="0" shapeId="0" xr:uid="{3D940DC8-69A6-4DF8-AD01-7DAAF6EB48A3}">
      <text>
        <r>
          <rPr>
            <b/>
            <sz val="9"/>
            <color indexed="81"/>
            <rFont val="Tahoma"/>
            <family val="2"/>
          </rPr>
          <t>Admin:</t>
        </r>
        <r>
          <rPr>
            <sz val="9"/>
            <color indexed="81"/>
            <rFont val="Tahoma"/>
            <family val="2"/>
          </rPr>
          <t xml:space="preserve">
Trần Long</t>
        </r>
      </text>
    </comment>
    <comment ref="Z18" authorId="1" shapeId="0" xr:uid="{184DD102-EA6A-4054-88BB-C7F1C96128B3}">
      <text>
        <r>
          <rPr>
            <b/>
            <sz val="9"/>
            <color indexed="81"/>
            <rFont val="Tahoma"/>
            <family val="2"/>
          </rPr>
          <t>usser01:</t>
        </r>
        <r>
          <rPr>
            <sz val="9"/>
            <color indexed="81"/>
            <rFont val="Tahoma"/>
            <family val="2"/>
          </rPr>
          <t xml:space="preserve">
Theo BC1262 của VDTC</t>
        </r>
      </text>
    </comment>
    <comment ref="C36" authorId="1" shapeId="0" xr:uid="{F31DCB5A-AC1E-49E2-8988-B169F3E544E9}">
      <text>
        <r>
          <rPr>
            <b/>
            <sz val="9"/>
            <color indexed="81"/>
            <rFont val="Tahoma"/>
            <family val="2"/>
          </rPr>
          <t>usser01:</t>
        </r>
        <r>
          <rPr>
            <sz val="9"/>
            <color indexed="81"/>
            <rFont val="Tahoma"/>
            <family val="2"/>
          </rPr>
          <t xml:space="preserve">
Tập đoàn Trường Thịnh</t>
        </r>
      </text>
    </comment>
    <comment ref="C39" authorId="1" shapeId="0" xr:uid="{61B0A121-B887-4796-8274-537FCFF9AE62}">
      <text>
        <r>
          <rPr>
            <sz val="9"/>
            <color indexed="81"/>
            <rFont val="Tahoma"/>
            <family val="2"/>
          </rPr>
          <t>BOT Quảng Trị</t>
        </r>
      </text>
    </comment>
    <comment ref="C47" authorId="0" shapeId="0" xr:uid="{289816CD-A247-4151-A055-F8023FC02A5E}">
      <text>
        <r>
          <rPr>
            <b/>
            <sz val="9"/>
            <color indexed="81"/>
            <rFont val="Tahoma"/>
            <family val="2"/>
          </rPr>
          <t>Admin:</t>
        </r>
        <r>
          <rPr>
            <sz val="9"/>
            <color indexed="81"/>
            <rFont val="Tahoma"/>
            <family val="2"/>
          </rPr>
          <t xml:space="preserve">
Doãn Mai Phương</t>
        </r>
      </text>
    </comment>
    <comment ref="Q50" authorId="0" shapeId="0" xr:uid="{4CBE83F4-4FCB-4B03-82E1-8BA41F527895}">
      <text>
        <r>
          <rPr>
            <b/>
            <sz val="9"/>
            <color indexed="81"/>
            <rFont val="Tahoma"/>
          </rPr>
          <t>Admin:</t>
        </r>
        <r>
          <rPr>
            <sz val="9"/>
            <color indexed="81"/>
            <rFont val="Tahoma"/>
          </rPr>
          <t xml:space="preserve">
chưa có bản mềm, cứng</t>
        </r>
      </text>
    </comment>
    <comment ref="F53" authorId="0" shapeId="0" xr:uid="{D6CB8ADC-8D08-4D2C-959F-02266D25F22E}">
      <text>
        <r>
          <rPr>
            <sz val="9"/>
            <color indexed="81"/>
            <rFont val="Tahoma"/>
          </rPr>
          <t>Vb điều chỉnh 
Số đến 15499 ngày 10/6/2024</t>
        </r>
      </text>
    </comment>
    <comment ref="A73" authorId="0" shapeId="0" xr:uid="{05F75745-5065-45EC-BC2F-29C091D8F6AE}">
      <text>
        <r>
          <rPr>
            <b/>
            <sz val="9"/>
            <color indexed="81"/>
            <rFont val="Tahoma"/>
            <family val="2"/>
          </rPr>
          <t>Admin:</t>
        </r>
        <r>
          <rPr>
            <sz val="9"/>
            <color indexed="81"/>
            <rFont val="Tahoma"/>
            <family val="2"/>
          </rPr>
          <t xml:space="preserve">
Nguyễn Đức Hà</t>
        </r>
      </text>
    </comment>
    <comment ref="Z75" authorId="1" shapeId="0" xr:uid="{E859A006-7705-46F9-B973-8EE528A1E23D}">
      <text>
        <r>
          <rPr>
            <b/>
            <sz val="9"/>
            <color indexed="81"/>
            <rFont val="Tahoma"/>
            <family val="2"/>
          </rPr>
          <t>usser01:</t>
        </r>
        <r>
          <rPr>
            <sz val="9"/>
            <color indexed="81"/>
            <rFont val="Tahoma"/>
            <family val="2"/>
          </rPr>
          <t xml:space="preserve">
Theo BC của BOO</t>
        </r>
      </text>
    </comment>
    <comment ref="C76" authorId="1" shapeId="0" xr:uid="{29781F32-28BD-47F2-BE28-B38E59CE4C1E}">
      <text>
        <r>
          <rPr>
            <b/>
            <sz val="9"/>
            <color indexed="81"/>
            <rFont val="Tahoma"/>
            <family val="2"/>
          </rPr>
          <t>usser01:</t>
        </r>
        <r>
          <rPr>
            <sz val="9"/>
            <color indexed="81"/>
            <rFont val="Tahoma"/>
            <family val="2"/>
          </rPr>
          <t xml:space="preserve">
Cty TNHH BOT tỉnh Ninh Thuận</t>
        </r>
      </text>
    </comment>
    <comment ref="V85" authorId="0" shapeId="0" xr:uid="{B7163A51-7493-47B5-9508-49BBC33144C3}">
      <text>
        <r>
          <rPr>
            <b/>
            <sz val="9"/>
            <color indexed="81"/>
            <rFont val="Tahoma"/>
            <family val="2"/>
          </rPr>
          <t>Admin:</t>
        </r>
        <r>
          <rPr>
            <sz val="9"/>
            <color indexed="81"/>
            <rFont val="Tahoma"/>
            <family val="2"/>
          </rPr>
          <t xml:space="preserve">
Số BC của Boo2</t>
        </r>
      </text>
    </comment>
    <comment ref="I90" authorId="0" shapeId="0" xr:uid="{D9ECA01F-7843-46F6-86C1-8BE4BF475194}">
      <text>
        <r>
          <rPr>
            <b/>
            <sz val="9"/>
            <color indexed="81"/>
            <rFont val="Tahoma"/>
            <family val="2"/>
          </rPr>
          <t>Admin:
Xem lại số liệu</t>
        </r>
      </text>
    </comment>
    <comment ref="A106" authorId="0" shapeId="0" xr:uid="{4122811F-9B5F-49BA-8295-31B336D71124}">
      <text>
        <r>
          <rPr>
            <b/>
            <sz val="9"/>
            <color indexed="81"/>
            <rFont val="Tahoma"/>
            <family val="2"/>
          </rPr>
          <t>Admin:</t>
        </r>
        <r>
          <rPr>
            <sz val="9"/>
            <color indexed="81"/>
            <rFont val="Tahoma"/>
            <family val="2"/>
          </rPr>
          <t xml:space="preserve">
Nguyễn Hữu Tuấn</t>
        </r>
      </text>
    </comment>
    <comment ref="A109" authorId="0" shapeId="0" xr:uid="{4AD3E005-D862-4578-A5AF-911854A036CB}">
      <text>
        <r>
          <rPr>
            <b/>
            <sz val="9"/>
            <color indexed="81"/>
            <rFont val="Tahoma"/>
            <family val="2"/>
          </rPr>
          <t>Admin:</t>
        </r>
        <r>
          <rPr>
            <sz val="9"/>
            <color indexed="81"/>
            <rFont val="Tahoma"/>
            <family val="2"/>
          </rPr>
          <t xml:space="preserve">
Phạm Thu Hường</t>
        </r>
      </text>
    </comment>
    <comment ref="A125" authorId="0" shapeId="0" xr:uid="{E895270E-FB21-42F9-BAED-0F64D5240047}">
      <text>
        <r>
          <rPr>
            <b/>
            <sz val="9"/>
            <color indexed="81"/>
            <rFont val="Tahoma"/>
            <family val="2"/>
          </rPr>
          <t>Admin:</t>
        </r>
        <r>
          <rPr>
            <sz val="9"/>
            <color indexed="81"/>
            <rFont val="Tahoma"/>
            <family val="2"/>
          </rPr>
          <t xml:space="preserve">
Trần Long</t>
        </r>
      </text>
    </comment>
    <comment ref="A128" authorId="0" shapeId="0" xr:uid="{7FD8FFC1-D387-4214-BCB8-A4844C64178B}">
      <text>
        <r>
          <rPr>
            <b/>
            <sz val="9"/>
            <color indexed="81"/>
            <rFont val="Tahoma"/>
            <family val="2"/>
          </rPr>
          <t>Admin:</t>
        </r>
        <r>
          <rPr>
            <sz val="9"/>
            <color indexed="81"/>
            <rFont val="Tahoma"/>
            <family val="2"/>
          </rPr>
          <t xml:space="preserve">
Lê Thị Thương</t>
        </r>
      </text>
    </comment>
    <comment ref="A132" authorId="0" shapeId="0" xr:uid="{6038C827-4B4F-4069-A5DC-8B3A980D2B20}">
      <text>
        <r>
          <rPr>
            <b/>
            <sz val="9"/>
            <color indexed="81"/>
            <rFont val="Tahoma"/>
            <family val="2"/>
          </rPr>
          <t>Admin:</t>
        </r>
        <r>
          <rPr>
            <sz val="9"/>
            <color indexed="81"/>
            <rFont val="Tahoma"/>
            <family val="2"/>
          </rPr>
          <t xml:space="preserve">
Trần Long</t>
        </r>
      </text>
    </comment>
    <comment ref="A154" authorId="0" shapeId="0" xr:uid="{3ED263BA-D2D9-4748-8E7B-78B7D3417C6B}">
      <text>
        <r>
          <rPr>
            <b/>
            <sz val="9"/>
            <color indexed="81"/>
            <rFont val="Tahoma"/>
            <family val="2"/>
          </rPr>
          <t xml:space="preserve">Admin:
</t>
        </r>
        <r>
          <rPr>
            <sz val="9"/>
            <color indexed="81"/>
            <rFont val="Times New Roman"/>
            <family val="1"/>
          </rPr>
          <t>Phạm Thu Hường</t>
        </r>
      </text>
    </comment>
    <comment ref="Z164" authorId="0" shapeId="0" xr:uid="{10BEA0B0-A8E4-4E63-9B5A-37A760ED7D48}">
      <text>
        <r>
          <rPr>
            <b/>
            <sz val="9"/>
            <color indexed="81"/>
            <rFont val="Tahoma"/>
            <family val="2"/>
          </rPr>
          <t>Chưa có bản giấy, pdf</t>
        </r>
        <r>
          <rPr>
            <sz val="9"/>
            <color indexed="81"/>
            <rFont val="Tahoma"/>
            <family val="2"/>
          </rPr>
          <t xml:space="preserve">
</t>
        </r>
      </text>
    </comment>
    <comment ref="N165" authorId="0" shapeId="0" xr:uid="{32D0F1DA-AFA2-4B31-978E-64562C494E1E}">
      <text>
        <r>
          <rPr>
            <b/>
            <sz val="9"/>
            <color indexed="81"/>
            <rFont val="Tahoma"/>
            <family val="2"/>
          </rPr>
          <t>Admin:</t>
        </r>
        <r>
          <rPr>
            <sz val="9"/>
            <color indexed="81"/>
            <rFont val="Tahoma"/>
            <family val="2"/>
          </rPr>
          <t xml:space="preserve">
Trong đó: + 1.995.000 đồng là Doanh thu điều chỉnh T02/2023</t>
        </r>
      </text>
    </comment>
    <comment ref="W179" authorId="0" shapeId="0" xr:uid="{80FA42A4-281F-4EE1-93EE-1FBDC509EC95}">
      <text>
        <r>
          <rPr>
            <b/>
            <sz val="9"/>
            <color indexed="81"/>
            <rFont val="Tahoma"/>
            <family val="2"/>
          </rPr>
          <t>Admin:</t>
        </r>
        <r>
          <rPr>
            <sz val="9"/>
            <color indexed="81"/>
            <rFont val="Tahoma"/>
            <family val="2"/>
          </rPr>
          <t xml:space="preserve">
LL bao gồm xe ưu tiên</t>
        </r>
      </text>
    </comment>
  </commentList>
</comments>
</file>

<file path=xl/sharedStrings.xml><?xml version="1.0" encoding="utf-8"?>
<sst xmlns="http://schemas.openxmlformats.org/spreadsheetml/2006/main" count="380" uniqueCount="179">
  <si>
    <t>TỔNG HỢP DOANH THU THU PHÍ CÁC DỰ ÁN BOT NĂM 2024</t>
  </si>
  <si>
    <t>(Kèm theo Công văn số               /CĐBVN-TC ngày      /     /   )</t>
  </si>
  <si>
    <t xml:space="preserve">TT DA </t>
  </si>
  <si>
    <t>TT Trạm</t>
  </si>
  <si>
    <t>Tên dự án</t>
  </si>
  <si>
    <t>Tên trạm</t>
  </si>
  <si>
    <t>Loại thu phí (MTC-ETC)</t>
  </si>
  <si>
    <t>Năm 2024</t>
  </si>
  <si>
    <t>Lũy kế năm 2024</t>
  </si>
  <si>
    <t>Số thu năm 2024 theo Hợp đồng</t>
  </si>
  <si>
    <t>Số thu 4 tháng năm 2024 theo Hợp đồng</t>
  </si>
  <si>
    <t>Tỷ lệ % giữa doanh thu thực tế so với Hợp đồng</t>
  </si>
  <si>
    <t>Ghi chú</t>
  </si>
  <si>
    <t>Tháng 1</t>
  </si>
  <si>
    <t>Tháng 2</t>
  </si>
  <si>
    <t>Tháng 3</t>
  </si>
  <si>
    <t>Quý I</t>
  </si>
  <si>
    <t>Tháng 4</t>
  </si>
  <si>
    <t>Tháng 5</t>
  </si>
  <si>
    <t>Tháng 6</t>
  </si>
  <si>
    <t>Quý II</t>
  </si>
  <si>
    <t>Tháng 7</t>
  </si>
  <si>
    <t>Tháng 8</t>
  </si>
  <si>
    <t>Tháng 9</t>
  </si>
  <si>
    <t>Quý III</t>
  </si>
  <si>
    <t>Tháng 10</t>
  </si>
  <si>
    <t>Tháng 11</t>
  </si>
  <si>
    <t>Tháng 12</t>
  </si>
  <si>
    <t>Quý IV</t>
  </si>
  <si>
    <t>Doanh thu
(triệu đồng)</t>
  </si>
  <si>
    <t>Lưu lượng
(lượt)</t>
  </si>
  <si>
    <t>Tổng số</t>
  </si>
  <si>
    <t>Quốc lộ 1</t>
  </si>
  <si>
    <t>Dự án đầu tư xây dựng công trình cải tạo, nâng cấp, mở rộng Quốc lộ 1 đoạn Hà Nội - Bắc Giang theo hình thức BOT</t>
  </si>
  <si>
    <t>Trạm Km152+080</t>
  </si>
  <si>
    <t>MTC</t>
  </si>
  <si>
    <t>ETC</t>
  </si>
  <si>
    <t>Tổng cộng</t>
  </si>
  <si>
    <t>Dự án đầu tư nâng cấp tuyến đường Pháp Vân -Cầu Giẽ</t>
  </si>
  <si>
    <t>Trạm thu kín</t>
  </si>
  <si>
    <t>Note: Chú ý điều chỉnh doanh thu của Tam Nông thág 3 (đã có vb điều chỉnh lưu ở file tháng 3)</t>
  </si>
  <si>
    <t>Đầu tư xây dựng QL1 đoạn tránh TP. Phủ Lý và tăng cường mặt đường QL1 đoạn Km215+715-Km235+885, tỉnh Hà Nam</t>
  </si>
  <si>
    <t>Trạm Nam Cầu Giẽ</t>
  </si>
  <si>
    <t>Dự án đầu tư xây dựng công trình mở rộng QL1 đoạn Km368+400 (Nghi Sơn) - Km402+330 (Cầu Giát) theo hình thức hợp đồng BOT</t>
  </si>
  <si>
    <t>Trạm Hoàng Mai</t>
  </si>
  <si>
    <t>Xây dựng tuyến tránh TP. Vinh và nâng cấp, mở rộng QL1A đoạn Nam cầu Bến Thuỷ đến tuyến tránh Hà Tĩnh</t>
  </si>
  <si>
    <t>Trạm Bến Thủy</t>
  </si>
  <si>
    <t>Trạm Bến Thủy II</t>
  </si>
  <si>
    <t>Xây dựng công trình mở rộng Quốc lộ 1 đoạn Km597+549-Km605+00 và đoạn Km617+00-Km641+00</t>
  </si>
  <si>
    <t>Trạm TASCO Quảng Bình (Km604)</t>
  </si>
  <si>
    <t>QL 1A đoạn tránh TP Đồng Hới</t>
  </si>
  <si>
    <t>Trạm Quán Hàu</t>
  </si>
  <si>
    <t>QL1 Km672+600 -Km704+900, tỉnh Quảng Bình</t>
  </si>
  <si>
    <t>QL 1A đoạn từ TP Đông Hà - Quảng Trị</t>
  </si>
  <si>
    <t>Trạm Đông Hà - Quảng Trị (Km763+800)</t>
  </si>
  <si>
    <t>Tập đoàn Trường Thịnh</t>
  </si>
  <si>
    <t xml:space="preserve">QL1 đoạn Km741+170 - Km756+705, tỉnh Quảng Trị </t>
  </si>
  <si>
    <t>BOT Q Trị</t>
  </si>
  <si>
    <t>Xây dựng hầm đường bộ  Phước Tượng Phú Gia, QL1 tỉnh Thừa Thiên Huế theo hình thức hợp đồng BOT</t>
  </si>
  <si>
    <t>Trạm Bắc Hải Vân</t>
  </si>
  <si>
    <t>Chia sẻ cho DA Đèo Cả</t>
  </si>
  <si>
    <t>DT PTPG được hưởng</t>
  </si>
  <si>
    <t>Dự án thành phần 1: Đầu tư xây dựng QL1 đoạn Km 947 - Km987  theo hình thức hợp đồng BOT</t>
  </si>
  <si>
    <t>Trạm Km943+975</t>
  </si>
  <si>
    <t>Dự án thành phần 2: Đầu tư xây dựng QL1 đoạn Km987-Km1027 thuộc dự án mở rộng QL1 đoạn Km942-1027</t>
  </si>
  <si>
    <t>Trạm Tam Kỳ</t>
  </si>
  <si>
    <t>Dự án đầu tư xây dựng công trình mở rộng Quốc lộ 1 đoạn Km 1063+877-Km1092+577, tỉnh Quảng Ngãi theo hình thức Hợp đồng BOT</t>
  </si>
  <si>
    <t>Trạm Km1064+730</t>
  </si>
  <si>
    <t>Dự án đầu tư xây dựng công trình mở rộng Quốc lộ 1 đoạn Km 1125-Km1153, tỉnh Bình Định theo hình thức Hợp đồng BOT</t>
  </si>
  <si>
    <t>Trạm Km1148+1300</t>
  </si>
  <si>
    <t>Dự án đầu tư xây dựng công trình mở rộng Quốc lộ 1 đoạn Km1212+400-Km1265 tỉnh Bình Định và Phú Yên theo hình thức Hợp đồng BOT</t>
  </si>
  <si>
    <t>Trạm Km1212+550 (trạm Nam Bình Định)</t>
  </si>
  <si>
    <t>Xây dựng hầm Đèo Cả QL 1</t>
  </si>
  <si>
    <t>Trạm An Dân</t>
  </si>
  <si>
    <t>Trạm Đèo Cả</t>
  </si>
  <si>
    <t>Trạm Cù Mông</t>
  </si>
  <si>
    <t>Nhận chia sẻ từ Bắc Hải Vân</t>
  </si>
  <si>
    <t>Đầu tư xây dựng công trình mở rộng QL1 đoạn Km1374+525-Km1392 và Km1405 - Km1425, tỉnh Khánh Hòa</t>
  </si>
  <si>
    <t>Trạm Ninh Lộc</t>
  </si>
  <si>
    <t>Dự án đầu tư xây dựng công trình mở rộng Quốc lộ 1 đoạn Km1488-Km1525, tỉnh Khánh Hòa theo hình thức HĐ BOT</t>
  </si>
  <si>
    <t>Trạm Cam Thịnh</t>
  </si>
  <si>
    <t>Dự án đầu tư xây dựng công trình mở rộng Quốc lộ 1 các đoạn qua tỉnh Ninh Thuận</t>
  </si>
  <si>
    <t>Trạm Cà Ná
Km1584+100 QL1 tỉnh Ninh Thuận</t>
  </si>
  <si>
    <t>Dự án đầu tư xây dựng công trình mở rộng QL1 đoạn Km1642-Km1692, tỉnh Bình Thuận theo hình thức BOT</t>
  </si>
  <si>
    <t>Dự án đầu tư xây dựng công trình cải tạo nền, mặt đường QL1 đoạn Phan Thiết-Đồng Nai</t>
  </si>
  <si>
    <t>Trạm Sông Phan</t>
  </si>
  <si>
    <t>Dự án mở rộng QL1A đoạn tránh TP Biên Hòa, tỉnh Đồng Nai</t>
  </si>
  <si>
    <t>Trạm Km1841+912</t>
  </si>
  <si>
    <t>Đầu tư xây dựng công trình tuyến tránh thị trấn Cai Lậy và tăng cường mặt đường đoạn Km1987+560 - Km2014+000 tỉnh Tiền Giang theo hình thức Hợp đồng BOT</t>
  </si>
  <si>
    <t>Trạm Km2+685 - Tuyến tránh</t>
  </si>
  <si>
    <t>Trạm Km1999+300</t>
  </si>
  <si>
    <t xml:space="preserve">Dự án đầu tư xây dựng công trình mở rộng Quốc lộ 1 đoạn Cần Thơ-Phụng Hiệp theo hình thức BOT                                                                                                                                        </t>
  </si>
  <si>
    <t>Trạm Km2079+535</t>
  </si>
  <si>
    <t xml:space="preserve">Dự án ĐTXDCT mở rộng Quốc lộ 1 đoạn Km2118+600 - Km2127+320,75 và xây dựng tuyến tránh thành phố Sóc Trăng của Quốc lộ 1, tỉnh Sóc Trăng </t>
  </si>
  <si>
    <t>Trạm Km2123+250</t>
  </si>
  <si>
    <t>Dự án Đầu tư xây dựng công trình mở rộng Quốc lộ 1 đoạn cửa ngõ phía Bắc thành phố Bạc Liêu (Km2169+056,65-Km2178+126,79) và xử lý một số vị trí ngập nước trên QL 1 tỉnh Bạc Liêu theo hình thức Hợp đồng BOT</t>
  </si>
  <si>
    <t>Trạm Km2171+200</t>
  </si>
  <si>
    <t>Quốc lộ 2</t>
  </si>
  <si>
    <t>Dự án xây dựng QL 2 đoạn tránh Thành phố Vĩnh Yên - Vĩnh Phúc</t>
  </si>
  <si>
    <t>Trạm Bắc TL - NB</t>
  </si>
  <si>
    <t>Dự án đầu tư xây dựng công trình cầu Việt Trì mới (cầu Hạc Trì) dành riêng cho giao thông đường bộ qua Sông Lô, Quốc lộ 2.</t>
  </si>
  <si>
    <t>Trạm cầu Việt Trì (cầu Hạc Trì)</t>
  </si>
  <si>
    <t>Dự án đầu tư xây dựng công trình cầu Việt Trì-Ba Vì nối Quốc lộ 32 với Quốc lộ 32C</t>
  </si>
  <si>
    <t>Trạm cầu Văn Lang</t>
  </si>
  <si>
    <t>Quốc lộ 3</t>
  </si>
  <si>
    <t>Dự án đầu tư xây dựng tuyến Thái Nguyên - Chợ Mới (Bắc Kạn) và Nâng cấp, mở rộng QL3 đoạn Km75-Km100 theo hình thức hợp đồng BOT</t>
  </si>
  <si>
    <t>Trạm Km72+930 tuyến Thái Nguyên - Chợ Mới</t>
  </si>
  <si>
    <t>Quốc lộ 5</t>
  </si>
  <si>
    <t>Dự án đường ô tô cao tốc Hà Nội - Hải Phòng</t>
  </si>
  <si>
    <t>Trạm số 1 QL 5</t>
  </si>
  <si>
    <t>Trạm số 2 QL5</t>
  </si>
  <si>
    <t>Trạm cao tốc</t>
  </si>
  <si>
    <t>Quốc lộ 10</t>
  </si>
  <si>
    <t>Cải tạo nâng cấp QL 10 đoạn từ cầu La Uyên đến cầu Tân Đệ tỉnh Thái Bình Và Tuyến tránh Đông Hưng</t>
  </si>
  <si>
    <t>Trạm Tuyến Tránh Đông Hưng</t>
  </si>
  <si>
    <t>Cải tạo, nâng cấp QL 10 đoạn từ cầu Quán Toan đến cầu Cầu Nghìn, thành phố Hải Phòng</t>
  </si>
  <si>
    <t>Trạm Km41 (Tiên Cựu)</t>
  </si>
  <si>
    <t>Quốc lộ 14</t>
  </si>
  <si>
    <t>Mở rộng đường mòn HCM đoạn từ cầu 38-Thị xã Đồng Xoài, tỉnh Bình Phước</t>
  </si>
  <si>
    <t>Trạm số 2-QL14</t>
  </si>
  <si>
    <t>Mở rộng QL14 đoạn từ Pleiku-cầu 110 (Km542 - Km607+850)</t>
  </si>
  <si>
    <t xml:space="preserve">Nâng cấp mở rộng đường Hồ Chí Minh (QL14), đoạn Km1738+148-Km1763+610, tỉnh Đăk lăk </t>
  </si>
  <si>
    <t>Trạm Km1747</t>
  </si>
  <si>
    <t>BOT Nâng cấp, mở rộng đường Hồ Chí Minh (QL14) đoạn Km1793+600 - Km1824+000, tỉnh Đak Nông</t>
  </si>
  <si>
    <t>Trạm Km1807+500 (Toàn Mỹ 14)</t>
  </si>
  <si>
    <t>Quốc lộ 18</t>
  </si>
  <si>
    <t>Cải tạo nâng cấp QL 18 đoạn từ thị xã Uông Bí- thành phố Hạ Long</t>
  </si>
  <si>
    <t>Trạm Đại Yên</t>
  </si>
  <si>
    <t>Cải tạo, nâng cấp Quốc lộ 18 đoạn Bắc Ninh - Uông Bí theo hình thức BOT</t>
  </si>
  <si>
    <t>Trạm Phả Lại Km23+890</t>
  </si>
  <si>
    <t>Quốc lộ 19</t>
  </si>
  <si>
    <t>Cải tạo nâng cấp QL 19 đoạn Km17+027 - Km50+00 trên địa phận tỉnh Bình Định và Km108 - Km131+300 trên địa phận tỉnh Gia Lai theo hình thức BOT</t>
  </si>
  <si>
    <t>Trạm Km49+550  Bình Định</t>
  </si>
  <si>
    <t>Trạm Km124+720 tỉnh Gia Lai</t>
  </si>
  <si>
    <t>Quốc lộ 20</t>
  </si>
  <si>
    <t>Dự án ĐTXDCT khôi phục, cải tạo Quốc lộ 20 đoạn Km123+105,17-Km154+400 tỉnh Lâm Đồng theo hình thức hợp đồng BOT kết hợp BT</t>
  </si>
  <si>
    <t>Trạm Liên Đầm</t>
  </si>
  <si>
    <t>Quốc lộ 32C</t>
  </si>
  <si>
    <t>đầu tư xây dựng công trình đường HCM đoạn QL2 đến Hương Nộn và Nâng cấp, mở rộng QL32 từ Cổ Tiết đến cầu Trung Hà, tỉnh Phú Thọ theo hình thức Hợp đồng BOT</t>
  </si>
  <si>
    <t>Trạm Tam Nông</t>
  </si>
  <si>
    <t>Quốc lộ 38</t>
  </si>
  <si>
    <t>Dự án đầu tư xây dựng Quốc lộ 38 đoạn từ cầu Yên Lệnh đến núi giao Vực Vòng theo hình thức BOT</t>
  </si>
  <si>
    <t>Trạm cầu Yên Lệnh</t>
  </si>
  <si>
    <t>Dự án đầu tư, cải tạo nâng cấp QL38 đoạn nối QL1 với QL5 qua địa phận tỉnh Bắc Ninh và Hải Dương theo hình thức Hợp đồng BOT</t>
  </si>
  <si>
    <t>Trạm Km11+625</t>
  </si>
  <si>
    <t>Quốc lộ 39</t>
  </si>
  <si>
    <t>Dự án cầu Thái Hà, Quốc lộ 39 vượt sông Hồng trên đường nối hai tỉnh Thái Bình, Hà Nam giai đoạn I theo hình thức hợp đồng BOT</t>
  </si>
  <si>
    <t>Trạm cầu Thái Hà</t>
  </si>
  <si>
    <t>Quốc lộ 50</t>
  </si>
  <si>
    <t xml:space="preserve">Dự án đầu tư xây dựng công trình cầu Mỹ Lợi (Km34+826, QL50) trên địa bàn tỉnh Vĩnh Long và Tiền Giang </t>
  </si>
  <si>
    <t>Trạm cầu Mỹ Lợi</t>
  </si>
  <si>
    <t>Quốc lộ 51</t>
  </si>
  <si>
    <t>Dự án nâng cấp mở rộng QL 51
(Tạm dừng thu từ tháng 02/2023)</t>
  </si>
  <si>
    <t>Trạm số 1</t>
  </si>
  <si>
    <t>Trạm số 2</t>
  </si>
  <si>
    <t>Trạm số 3</t>
  </si>
  <si>
    <t>Quốc lộ 60</t>
  </si>
  <si>
    <t>Xây dựng cầu Rạch Miễu</t>
  </si>
  <si>
    <t>Trạm cầu Rạch Miễu</t>
  </si>
  <si>
    <t>Dự án đầu tư xây dựng công trình cầu Cổ Chiên, Quốc lộ 60, tỉnh Bến Tre và Trà Vinh theo hình thức hợp đồng BOT</t>
  </si>
  <si>
    <t>Trạm cầu Cổ Chiên</t>
  </si>
  <si>
    <t>Quốc lộ 91</t>
  </si>
  <si>
    <t>Dự án đầu tư xây dựng công trình cải tạo, nâng cấp Quốc lộ 91 đoạn Km14+000 đến Km50+889 theo hình thức BOT</t>
  </si>
  <si>
    <t>Trạm Km16+905</t>
  </si>
  <si>
    <t>56-57</t>
  </si>
  <si>
    <t>Dự án cải tạo nâng cấp một số đoạn tuyến QL26 qua tỉnh Khánh Hòa và tỉnh Đăk Lăk theo hình thức hợp đồng BOT</t>
  </si>
  <si>
    <t>Trạm Ea Đar km93+677 và Trạm Ninh Xuân Km8+800</t>
  </si>
  <si>
    <t>MTC (Ea Đar)</t>
  </si>
  <si>
    <t>ETC (Ea Đar)</t>
  </si>
  <si>
    <t>MTC (Ninh Xuân)</t>
  </si>
  <si>
    <t>ETC (Ninh Xuân)</t>
  </si>
  <si>
    <t>Trạm Km1610+800 (Trạm Hàm Rồng)</t>
  </si>
  <si>
    <t>Trạm Km1667+470 (Cầu 110)</t>
  </si>
  <si>
    <t>Km1661+600</t>
  </si>
  <si>
    <t>Cao tốc</t>
  </si>
  <si>
    <t>Cao tốc Cam Lâm - Vĩnh Hảo</t>
  </si>
  <si>
    <t>Trạm Cam Lâm - Vĩnh Hảo</t>
  </si>
  <si>
    <r>
      <t xml:space="preserve"> </t>
    </r>
    <r>
      <rPr>
        <b/>
        <i/>
        <u/>
        <sz val="11"/>
        <color theme="1"/>
        <rFont val="Times New Roman"/>
        <family val="1"/>
      </rPr>
      <t>Ghi chú</t>
    </r>
    <r>
      <rPr>
        <sz val="11"/>
        <color theme="1"/>
        <rFont val="Times New Roman"/>
        <family val="1"/>
      </rPr>
      <t>: Cao tốc Cam Lâm - Vĩnh Hảo bắt đầu thu phí từ 01/7/2024</t>
    </r>
  </si>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</sst>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2">
    <font>
      <sz val="11"/>
      <color theme="1"/>
      <name val="Aptos Narrow"/>
      <family val="2"/>
      <scheme val="minor"/>
    </font>
    <font>
      <sz val="11"/>
      <color theme="1"/>
      <name val="Aptos Narrow"/>
      <family val="2"/>
      <scheme val="minor"/>
    </font>
    <font>
      <b/>
      <sz val="14"/>
      <color theme="1"/>
      <name val="Times New Roman"/>
      <family val="1"/>
    </font>
    <font>
      <b/>
      <sz val="11"/>
      <color theme="1"/>
      <name val="Times New Roman"/>
      <family val="1"/>
    </font>
    <font>
      <sz val="11"/>
      <color theme="1"/>
      <name val="Times New Roman"/>
      <family val="1"/>
    </font>
    <font>
      <i/>
      <sz val="11"/>
      <color theme="1"/>
      <name val="Times New Roman"/>
      <family val="1"/>
    </font>
    <font>
      <b/>
      <i/>
      <sz val="11"/>
      <color theme="1"/>
      <name val="Times New Roman"/>
      <family val="1"/>
    </font>
    <font>
      <b/>
      <sz val="11"/>
      <color rgb="FFFF0000"/>
      <name val="Times New Roman"/>
      <family val="1"/>
    </font>
    <font>
      <sz val="11"/>
      <color rgb="FFFF0000"/>
      <name val="Times New Roman"/>
      <family val="1"/>
    </font>
    <font>
      <sz val="10"/>
      <name val=".VnTime"/>
      <family val="2"/>
    </font>
    <font>
      <sz val="11"/>
      <name val="Times New Roman"/>
      <family val="1"/>
    </font>
    <font>
      <sz val="12"/>
      <color rgb="FFFF0000"/>
      <name val="Times New Roman"/>
      <family val="1"/>
    </font>
    <font>
      <sz val="12"/>
      <name val="Times New Roman"/>
      <family val="1"/>
    </font>
    <font>
      <b/>
      <sz val="12"/>
      <color rgb="FFFF0000"/>
      <name val="Times New Roman"/>
      <family val="1"/>
    </font>
    <font>
      <sz val="13"/>
      <color theme="1"/>
      <name val="Times New Roman"/>
      <family val="1"/>
    </font>
    <font>
      <b/>
      <sz val="9"/>
      <color indexed="81"/>
      <name val="Tahoma"/>
      <family val="2"/>
    </font>
    <font>
      <sz val="9"/>
      <color indexed="81"/>
      <name val="Tahoma"/>
      <family val="2"/>
    </font>
    <font>
      <b/>
      <sz val="9"/>
      <color indexed="81"/>
      <name val="Tahoma"/>
    </font>
    <font>
      <sz val="9"/>
      <color indexed="81"/>
      <name val="Tahoma"/>
    </font>
    <font>
      <sz val="9"/>
      <color indexed="81"/>
      <name val="Times New Roman"/>
      <family val="1"/>
    </font>
    <font>
      <b/>
      <sz val="11"/>
      <name val="Times New Roman"/>
      <family val="1"/>
    </font>
    <font>
      <b/>
      <i/>
      <u/>
      <sz val="11"/>
      <color theme="1"/>
      <name val="Times New Roman"/>
      <family val="1"/>
    </font>
  </fonts>
  <fills count="5">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39">
    <xf numFmtId="0" fontId="0" fillId="0" borderId="0" xfId="0"/>
    <xf numFmtId="0" fontId="3" fillId="0" borderId="0" xfId="0" applyFont="1" applyAlignment="1">
      <alignment horizontal="right" vertical="center"/>
    </xf>
    <xf numFmtId="9" fontId="3" fillId="0" borderId="0" xfId="2" applyFont="1" applyAlignment="1">
      <alignment horizontal="right" vertical="center"/>
    </xf>
    <xf numFmtId="0" fontId="3" fillId="0" borderId="0" xfId="0" applyFont="1" applyAlignment="1">
      <alignment horizontal="center"/>
    </xf>
    <xf numFmtId="0" fontId="4" fillId="0" borderId="0" xfId="0" applyFont="1"/>
    <xf numFmtId="0" fontId="6" fillId="0" borderId="0" xfId="0" applyFont="1" applyAlignment="1">
      <alignment horizontal="right" vertical="center"/>
    </xf>
    <xf numFmtId="9" fontId="6" fillId="0" borderId="0" xfId="2" applyFont="1" applyAlignment="1">
      <alignment horizontal="right" vertical="center"/>
    </xf>
    <xf numFmtId="0" fontId="6" fillId="0" borderId="0" xfId="0" applyFont="1" applyAlignment="1">
      <alignment horizontal="center"/>
    </xf>
    <xf numFmtId="0" fontId="3" fillId="0" borderId="0" xfId="0" applyFont="1" applyAlignment="1">
      <alignment horizontal="center" vertical="center" wrapText="1"/>
    </xf>
    <xf numFmtId="3" fontId="3" fillId="0" borderId="0" xfId="0" applyNumberFormat="1" applyFont="1" applyAlignment="1">
      <alignment horizontal="center" vertical="center"/>
    </xf>
    <xf numFmtId="0" fontId="3" fillId="0" borderId="0" xfId="0" applyFont="1" applyAlignment="1">
      <alignment horizontal="center" vertical="center"/>
    </xf>
    <xf numFmtId="3" fontId="3" fillId="0" borderId="0" xfId="0" applyNumberFormat="1" applyFont="1" applyAlignment="1">
      <alignment horizontal="left" vertical="center"/>
    </xf>
    <xf numFmtId="3" fontId="3" fillId="0" borderId="0" xfId="0" applyNumberFormat="1" applyFont="1" applyAlignment="1">
      <alignment horizontal="right" vertical="center"/>
    </xf>
    <xf numFmtId="0" fontId="3" fillId="0" borderId="1" xfId="0" applyFont="1" applyBorder="1" applyAlignment="1">
      <alignment horizontal="center" vertical="center" wrapText="1"/>
    </xf>
    <xf numFmtId="0" fontId="3" fillId="0" borderId="0" xfId="0" applyFont="1"/>
    <xf numFmtId="3" fontId="3" fillId="0" borderId="1" xfId="1" applyNumberFormat="1" applyFont="1" applyFill="1" applyBorder="1" applyAlignment="1">
      <alignment horizontal="right" vertical="center" wrapText="1"/>
    </xf>
    <xf numFmtId="3" fontId="7" fillId="0" borderId="1" xfId="1" applyNumberFormat="1" applyFont="1" applyFill="1" applyBorder="1" applyAlignment="1">
      <alignment horizontal="center" vertical="center" wrapText="1"/>
    </xf>
    <xf numFmtId="9" fontId="3" fillId="0" borderId="1" xfId="2" applyFont="1" applyFill="1" applyBorder="1" applyAlignment="1">
      <alignment horizontal="right" vertical="center" wrapText="1"/>
    </xf>
    <xf numFmtId="3" fontId="4" fillId="0" borderId="0" xfId="0" applyNumberFormat="1" applyFont="1"/>
    <xf numFmtId="0" fontId="4"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2" borderId="1" xfId="1"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1" applyNumberFormat="1" applyFont="1" applyFill="1" applyBorder="1" applyAlignment="1">
      <alignment horizontal="right" vertical="center" wrapText="1"/>
    </xf>
    <xf numFmtId="3" fontId="3" fillId="3" borderId="1" xfId="1" applyNumberFormat="1" applyFont="1" applyFill="1" applyBorder="1" applyAlignment="1">
      <alignment horizontal="right" vertical="center" wrapText="1"/>
    </xf>
    <xf numFmtId="9" fontId="3" fillId="3" borderId="1" xfId="2" applyFont="1" applyFill="1" applyBorder="1" applyAlignment="1">
      <alignment horizontal="right" vertical="center" wrapText="1"/>
    </xf>
    <xf numFmtId="3" fontId="7" fillId="0" borderId="1" xfId="1" applyNumberFormat="1" applyFont="1" applyFill="1" applyBorder="1" applyAlignment="1">
      <alignment horizontal="right" vertical="center" wrapText="1"/>
    </xf>
    <xf numFmtId="0" fontId="7" fillId="0" borderId="0" xfId="0" applyFont="1"/>
    <xf numFmtId="3" fontId="4"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right" vertical="center" wrapText="1"/>
    </xf>
    <xf numFmtId="3" fontId="4"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4" fillId="2" borderId="0" xfId="0" applyFont="1" applyFill="1"/>
    <xf numFmtId="0" fontId="7" fillId="2" borderId="0" xfId="0" applyFont="1" applyFill="1"/>
    <xf numFmtId="3" fontId="4"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vertical="center" wrapText="1"/>
    </xf>
    <xf numFmtId="3" fontId="4" fillId="2" borderId="1" xfId="1" applyNumberFormat="1" applyFont="1" applyFill="1" applyBorder="1" applyAlignment="1">
      <alignment vertical="center" wrapText="1"/>
    </xf>
    <xf numFmtId="3" fontId="4" fillId="2" borderId="4" xfId="0" applyNumberFormat="1" applyFont="1" applyFill="1" applyBorder="1" applyAlignment="1">
      <alignment horizontal="right" vertical="center" wrapText="1"/>
    </xf>
    <xf numFmtId="0" fontId="7" fillId="2" borderId="1" xfId="0" applyFont="1" applyFill="1" applyBorder="1" applyAlignment="1">
      <alignment vertical="center" wrapText="1"/>
    </xf>
    <xf numFmtId="3" fontId="4" fillId="0" borderId="1" xfId="0" applyNumberFormat="1" applyFont="1" applyBorder="1" applyAlignment="1">
      <alignment vertical="center" wrapText="1"/>
    </xf>
    <xf numFmtId="9" fontId="4" fillId="0" borderId="1" xfId="2" applyFont="1" applyFill="1" applyBorder="1" applyAlignment="1">
      <alignment horizontal="right" vertical="center" wrapText="1"/>
    </xf>
    <xf numFmtId="3" fontId="7" fillId="0" borderId="4" xfId="0" applyNumberFormat="1" applyFont="1" applyBorder="1" applyAlignment="1">
      <alignment horizontal="right" vertical="center" wrapText="1"/>
    </xf>
    <xf numFmtId="3" fontId="4" fillId="4" borderId="1" xfId="0" applyNumberFormat="1" applyFont="1" applyFill="1" applyBorder="1" applyAlignment="1">
      <alignment vertical="center" wrapText="1"/>
    </xf>
    <xf numFmtId="3" fontId="4" fillId="2" borderId="4" xfId="0" applyNumberFormat="1" applyFont="1" applyFill="1" applyBorder="1" applyAlignment="1">
      <alignment vertical="center" wrapText="1"/>
    </xf>
    <xf numFmtId="3" fontId="4" fillId="2" borderId="7" xfId="0" applyNumberFormat="1" applyFont="1" applyFill="1" applyBorder="1" applyAlignment="1">
      <alignment vertical="center" wrapText="1"/>
    </xf>
    <xf numFmtId="3"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vertical="center" wrapText="1"/>
    </xf>
    <xf numFmtId="3" fontId="8" fillId="2" borderId="1" xfId="0" applyNumberFormat="1" applyFont="1" applyFill="1" applyBorder="1" applyAlignment="1">
      <alignment horizontal="right" vertical="center" wrapText="1"/>
    </xf>
    <xf numFmtId="3" fontId="7" fillId="2" borderId="7" xfId="0" applyNumberFormat="1" applyFont="1" applyFill="1" applyBorder="1" applyAlignment="1">
      <alignment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horizontal="right" vertical="center" wrapText="1"/>
    </xf>
    <xf numFmtId="0" fontId="4" fillId="4" borderId="0" xfId="0" applyFont="1" applyFill="1"/>
    <xf numFmtId="0" fontId="3" fillId="4" borderId="0" xfId="0" applyFont="1" applyFill="1"/>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right" vertical="center" wrapText="1"/>
    </xf>
    <xf numFmtId="3" fontId="7" fillId="4" borderId="1" xfId="0" applyNumberFormat="1" applyFont="1" applyFill="1" applyBorder="1" applyAlignment="1">
      <alignment vertical="center" wrapText="1"/>
    </xf>
    <xf numFmtId="3" fontId="7" fillId="4" borderId="1" xfId="1" applyNumberFormat="1" applyFont="1" applyFill="1" applyBorder="1" applyAlignment="1">
      <alignment horizontal="right" vertical="center" wrapText="1"/>
    </xf>
    <xf numFmtId="0" fontId="7" fillId="4" borderId="0" xfId="0" applyFont="1" applyFill="1"/>
    <xf numFmtId="3" fontId="8" fillId="2" borderId="1" xfId="0" applyNumberFormat="1" applyFont="1" applyFill="1" applyBorder="1" applyAlignment="1">
      <alignment horizontal="center" vertical="center" wrapText="1"/>
    </xf>
    <xf numFmtId="0" fontId="8" fillId="2" borderId="0" xfId="0" applyFont="1" applyFill="1"/>
    <xf numFmtId="0" fontId="8" fillId="0" borderId="0" xfId="0" applyFont="1"/>
    <xf numFmtId="3" fontId="4" fillId="0" borderId="4" xfId="0" applyNumberFormat="1" applyFont="1" applyBorder="1" applyAlignment="1">
      <alignment vertical="center" wrapText="1"/>
    </xf>
    <xf numFmtId="0" fontId="8" fillId="0" borderId="1" xfId="0" applyFont="1" applyBorder="1" applyAlignment="1">
      <alignment vertical="center" wrapText="1"/>
    </xf>
    <xf numFmtId="0" fontId="7" fillId="0" borderId="1" xfId="3" applyFont="1" applyFill="1" applyBorder="1" applyAlignment="1">
      <alignment horizontal="center" vertical="center" wrapText="1"/>
    </xf>
    <xf numFmtId="3" fontId="7" fillId="0" borderId="1" xfId="0" applyNumberFormat="1" applyFont="1" applyBorder="1" applyAlignment="1">
      <alignment vertical="center" wrapText="1"/>
    </xf>
    <xf numFmtId="3" fontId="7" fillId="2" borderId="1" xfId="0" applyNumberFormat="1" applyFont="1" applyFill="1" applyBorder="1" applyAlignment="1">
      <alignment horizontal="right" vertical="center" wrapText="1"/>
    </xf>
    <xf numFmtId="3" fontId="3" fillId="2" borderId="4" xfId="0" applyNumberFormat="1" applyFont="1" applyFill="1" applyBorder="1" applyAlignment="1">
      <alignment horizontal="right" vertical="center" wrapText="1"/>
    </xf>
    <xf numFmtId="9" fontId="3" fillId="2" borderId="1" xfId="2" applyFont="1" applyFill="1" applyBorder="1" applyAlignment="1">
      <alignment horizontal="right" vertical="center" wrapText="1"/>
    </xf>
    <xf numFmtId="3" fontId="3" fillId="2" borderId="1"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9" fontId="4" fillId="2" borderId="1" xfId="2" applyFont="1" applyFill="1" applyBorder="1" applyAlignment="1">
      <alignment horizontal="right"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 xfId="1" applyNumberFormat="1" applyFont="1" applyFill="1" applyBorder="1" applyAlignment="1">
      <alignment horizontal="right" vertical="center" wrapText="1"/>
    </xf>
    <xf numFmtId="0" fontId="3" fillId="2" borderId="0" xfId="0" applyFont="1" applyFill="1"/>
    <xf numFmtId="3" fontId="7" fillId="0" borderId="1" xfId="0" applyNumberFormat="1" applyFont="1" applyBorder="1" applyAlignment="1">
      <alignment horizontal="center" vertical="center" wrapText="1"/>
    </xf>
    <xf numFmtId="3" fontId="4" fillId="4" borderId="1" xfId="1"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3" fontId="4" fillId="4" borderId="4"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3" fillId="4" borderId="1" xfId="1" applyNumberFormat="1" applyFont="1" applyFill="1" applyBorder="1" applyAlignment="1">
      <alignment horizontal="right" vertical="center" wrapText="1"/>
    </xf>
    <xf numFmtId="0" fontId="8" fillId="2" borderId="1" xfId="0" applyFont="1" applyFill="1" applyBorder="1" applyAlignment="1">
      <alignment vertical="center" wrapText="1"/>
    </xf>
    <xf numFmtId="3" fontId="10" fillId="2" borderId="1" xfId="0" applyNumberFormat="1" applyFont="1" applyFill="1" applyBorder="1" applyAlignment="1">
      <alignment horizontal="right" vertical="center" wrapText="1"/>
    </xf>
    <xf numFmtId="3" fontId="4" fillId="4" borderId="1" xfId="1" applyNumberFormat="1" applyFont="1" applyFill="1" applyBorder="1" applyAlignment="1">
      <alignment vertical="center" wrapText="1"/>
    </xf>
    <xf numFmtId="3" fontId="4" fillId="4" borderId="4" xfId="0" applyNumberFormat="1" applyFont="1" applyFill="1" applyBorder="1" applyAlignment="1">
      <alignment vertical="center" wrapText="1"/>
    </xf>
    <xf numFmtId="3" fontId="4" fillId="4" borderId="4" xfId="1" applyNumberFormat="1" applyFont="1" applyFill="1" applyBorder="1" applyAlignment="1">
      <alignment vertical="center" wrapText="1"/>
    </xf>
    <xf numFmtId="9" fontId="4" fillId="4" borderId="1" xfId="2" applyFont="1" applyFill="1" applyBorder="1" applyAlignment="1">
      <alignment horizontal="right" vertical="center" wrapText="1"/>
    </xf>
    <xf numFmtId="3" fontId="7"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0" applyNumberFormat="1" applyFont="1" applyFill="1" applyBorder="1" applyAlignment="1">
      <alignment horizontal="right" vertical="center" wrapText="1"/>
    </xf>
    <xf numFmtId="9" fontId="3" fillId="4" borderId="1" xfId="2" applyFont="1" applyFill="1" applyBorder="1" applyAlignment="1">
      <alignment horizontal="right" vertical="center" wrapText="1"/>
    </xf>
    <xf numFmtId="3" fontId="4" fillId="2" borderId="4" xfId="1" applyNumberFormat="1" applyFont="1" applyFill="1" applyBorder="1" applyAlignment="1">
      <alignment vertical="center" wrapText="1"/>
    </xf>
    <xf numFmtId="0" fontId="11" fillId="2" borderId="1" xfId="0" applyFont="1" applyFill="1" applyBorder="1" applyAlignment="1">
      <alignment horizontal="center" vertical="center" wrapText="1"/>
    </xf>
    <xf numFmtId="3" fontId="8" fillId="2" borderId="1" xfId="1" applyNumberFormat="1" applyFont="1" applyFill="1" applyBorder="1" applyAlignment="1">
      <alignment horizontal="right" vertical="center" wrapText="1"/>
    </xf>
    <xf numFmtId="0" fontId="8" fillId="4" borderId="0" xfId="0" applyFont="1" applyFill="1"/>
    <xf numFmtId="0" fontId="3" fillId="4" borderId="1" xfId="0" applyFont="1" applyFill="1" applyBorder="1" applyAlignment="1">
      <alignment horizontal="center" vertical="center"/>
    </xf>
    <xf numFmtId="0" fontId="4" fillId="4" borderId="1" xfId="0" applyFont="1" applyFill="1" applyBorder="1"/>
    <xf numFmtId="0" fontId="7" fillId="2" borderId="1" xfId="3" applyFont="1" applyFill="1" applyBorder="1" applyAlignment="1">
      <alignment horizontal="center" vertical="center"/>
    </xf>
    <xf numFmtId="0" fontId="7" fillId="4" borderId="1" xfId="3" applyFont="1" applyFill="1" applyBorder="1" applyAlignment="1">
      <alignment horizontal="center" vertical="center"/>
    </xf>
    <xf numFmtId="0" fontId="13" fillId="4" borderId="1" xfId="0" applyFont="1" applyFill="1" applyBorder="1" applyAlignment="1">
      <alignment horizontal="center" vertical="center" wrapText="1"/>
    </xf>
    <xf numFmtId="3" fontId="4" fillId="2" borderId="0" xfId="1" applyNumberFormat="1" applyFont="1" applyFill="1" applyBorder="1" applyAlignment="1">
      <alignment horizontal="right" vertical="center" wrapText="1"/>
    </xf>
    <xf numFmtId="9" fontId="7" fillId="4" borderId="0" xfId="2" applyFont="1" applyFill="1"/>
    <xf numFmtId="9" fontId="4" fillId="4" borderId="0" xfId="2" applyFont="1" applyFill="1"/>
    <xf numFmtId="3" fontId="7" fillId="4" borderId="8" xfId="0" applyNumberFormat="1" applyFont="1" applyFill="1" applyBorder="1" applyAlignment="1">
      <alignment vertical="center" wrapText="1"/>
    </xf>
    <xf numFmtId="3" fontId="7" fillId="2" borderId="8" xfId="0" applyNumberFormat="1" applyFont="1" applyFill="1" applyBorder="1" applyAlignment="1">
      <alignment horizontal="right" vertical="center" wrapText="1"/>
    </xf>
    <xf numFmtId="3" fontId="7" fillId="4" borderId="8" xfId="0" applyNumberFormat="1" applyFont="1" applyFill="1" applyBorder="1" applyAlignment="1">
      <alignment horizontal="right" vertical="center" wrapText="1"/>
    </xf>
    <xf numFmtId="165" fontId="4" fillId="2" borderId="1" xfId="1" applyNumberFormat="1" applyFont="1" applyFill="1" applyBorder="1" applyAlignment="1">
      <alignment horizontal="right" vertical="center" wrapText="1"/>
    </xf>
    <xf numFmtId="165" fontId="4" fillId="4" borderId="1" xfId="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0" fontId="4" fillId="0" borderId="0" xfId="0" applyFont="1" applyAlignment="1">
      <alignment horizontal="center"/>
    </xf>
    <xf numFmtId="0" fontId="4" fillId="0" borderId="0" xfId="0" applyFont="1" applyAlignment="1">
      <alignment vertical="center"/>
    </xf>
    <xf numFmtId="3" fontId="4" fillId="4" borderId="0" xfId="1" applyNumberFormat="1" applyFont="1" applyFill="1" applyBorder="1" applyAlignment="1">
      <alignment vertical="center" wrapText="1"/>
    </xf>
    <xf numFmtId="0" fontId="4" fillId="0" borderId="0" xfId="0" applyFont="1" applyAlignment="1">
      <alignment horizontal="right" vertical="center"/>
    </xf>
    <xf numFmtId="9" fontId="4" fillId="0" borderId="0" xfId="2" applyFont="1" applyAlignment="1">
      <alignment horizontal="right" vertical="center"/>
    </xf>
    <xf numFmtId="0" fontId="8"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0"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right" vertical="center"/>
    </xf>
    <xf numFmtId="9" fontId="4" fillId="0" borderId="1" xfId="2" applyFont="1" applyBorder="1" applyAlignment="1">
      <alignment horizontal="right" vertical="center"/>
    </xf>
    <xf numFmtId="0" fontId="4" fillId="0" borderId="1" xfId="0" applyFont="1" applyBorder="1" applyAlignment="1">
      <alignment vertical="center"/>
    </xf>
    <xf numFmtId="0" fontId="14" fillId="0" borderId="1" xfId="0" applyFont="1" applyBorder="1" applyAlignment="1">
      <alignment vertical="top" wrapText="1"/>
    </xf>
    <xf numFmtId="0" fontId="4" fillId="0" borderId="0" xfId="0" applyFont="1" applyAlignment="1">
      <alignment horizontal="left"/>
    </xf>
    <xf numFmtId="0" fontId="4" fillId="0" borderId="1" xfId="0" applyFont="1" applyBorder="1" applyAlignment="1">
      <alignment horizontal="center" vertical="center"/>
    </xf>
    <xf numFmtId="9" fontId="4" fillId="2" borderId="4" xfId="2" applyFont="1" applyFill="1" applyBorder="1" applyAlignment="1">
      <alignment horizontal="center" vertical="center" wrapText="1"/>
    </xf>
    <xf numFmtId="9" fontId="4" fillId="2" borderId="8" xfId="2" applyFont="1" applyFill="1" applyBorder="1" applyAlignment="1">
      <alignment horizontal="center" vertical="center" wrapText="1"/>
    </xf>
    <xf numFmtId="3" fontId="4" fillId="2" borderId="4" xfId="1" applyNumberFormat="1" applyFont="1" applyFill="1" applyBorder="1" applyAlignment="1">
      <alignment horizontal="center" vertical="center" wrapText="1"/>
    </xf>
    <xf numFmtId="3" fontId="4" fillId="2" borderId="8"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3" fontId="4" fillId="4" borderId="4" xfId="1" applyNumberFormat="1" applyFont="1" applyFill="1" applyBorder="1" applyAlignment="1">
      <alignment horizontal="right" vertical="center" wrapText="1"/>
    </xf>
    <xf numFmtId="3" fontId="4" fillId="4" borderId="7"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4" fillId="4" borderId="4" xfId="1" applyNumberFormat="1" applyFont="1" applyFill="1" applyBorder="1" applyAlignment="1">
      <alignment horizontal="center" vertical="center" wrapText="1"/>
    </xf>
    <xf numFmtId="3" fontId="4" fillId="4" borderId="7" xfId="1" applyNumberFormat="1" applyFont="1" applyFill="1" applyBorder="1" applyAlignment="1">
      <alignment horizontal="center" vertical="center" wrapText="1"/>
    </xf>
    <xf numFmtId="3" fontId="4" fillId="4" borderId="8" xfId="1" applyNumberFormat="1" applyFont="1" applyFill="1" applyBorder="1" applyAlignment="1">
      <alignment horizontal="center" vertical="center" wrapText="1"/>
    </xf>
    <xf numFmtId="9" fontId="4" fillId="4" borderId="4" xfId="2" applyFont="1" applyFill="1" applyBorder="1" applyAlignment="1">
      <alignment horizontal="center" vertical="center" wrapText="1"/>
    </xf>
    <xf numFmtId="9" fontId="4" fillId="4" borderId="7" xfId="2" applyFont="1" applyFill="1" applyBorder="1" applyAlignment="1">
      <alignment horizontal="center" vertical="center" wrapText="1"/>
    </xf>
    <xf numFmtId="9" fontId="4" fillId="4" borderId="8" xfId="2"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3" fontId="4" fillId="2" borderId="4" xfId="1"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0" fontId="4" fillId="0" borderId="1" xfId="0" applyFont="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8" xfId="0"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0" fontId="10"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4" fillId="4" borderId="8" xfId="0" applyFont="1" applyFill="1" applyBorder="1" applyAlignment="1">
      <alignment horizontal="center" vertical="center" wrapText="1"/>
    </xf>
    <xf numFmtId="3" fontId="4" fillId="4" borderId="4" xfId="0" applyNumberFormat="1" applyFont="1" applyFill="1" applyBorder="1" applyAlignment="1">
      <alignment horizontal="right" vertical="center" wrapText="1"/>
    </xf>
    <xf numFmtId="3" fontId="4" fillId="4" borderId="8" xfId="0" applyNumberFormat="1" applyFont="1" applyFill="1" applyBorder="1" applyAlignment="1">
      <alignment horizontal="right" vertical="center" wrapText="1"/>
    </xf>
    <xf numFmtId="3" fontId="4" fillId="4" borderId="1" xfId="0" applyNumberFormat="1" applyFont="1" applyFill="1" applyBorder="1" applyAlignment="1">
      <alignment horizontal="right" vertical="center" wrapText="1"/>
    </xf>
    <xf numFmtId="0" fontId="4" fillId="4" borderId="1" xfId="0" applyFont="1" applyFill="1" applyBorder="1" applyAlignment="1">
      <alignment horizontal="center" vertical="center"/>
    </xf>
    <xf numFmtId="0" fontId="8" fillId="4" borderId="1" xfId="0" applyFont="1" applyFill="1" applyBorder="1" applyAlignment="1">
      <alignment horizontal="center" vertical="center"/>
    </xf>
    <xf numFmtId="9" fontId="4" fillId="0" borderId="4" xfId="2" applyFont="1" applyFill="1" applyBorder="1" applyAlignment="1">
      <alignment horizontal="center" vertical="center" wrapText="1"/>
    </xf>
    <xf numFmtId="9" fontId="4" fillId="0" borderId="8" xfId="2" applyFont="1" applyFill="1" applyBorder="1" applyAlignment="1">
      <alignment horizontal="center" vertical="center" wrapText="1"/>
    </xf>
    <xf numFmtId="3" fontId="4" fillId="2" borderId="7" xfId="1" applyNumberFormat="1" applyFont="1" applyFill="1" applyBorder="1" applyAlignment="1">
      <alignment horizontal="right" vertical="center" wrapText="1"/>
    </xf>
    <xf numFmtId="3" fontId="4" fillId="2" borderId="7" xfId="1" applyNumberFormat="1" applyFont="1" applyFill="1" applyBorder="1" applyAlignment="1">
      <alignment horizontal="center" vertical="center" wrapText="1"/>
    </xf>
    <xf numFmtId="9" fontId="4" fillId="2" borderId="7" xfId="2" applyFont="1" applyFill="1" applyBorder="1" applyAlignment="1">
      <alignment horizontal="center" vertical="center" wrapText="1"/>
    </xf>
    <xf numFmtId="3" fontId="4" fillId="0" borderId="4" xfId="1" applyNumberFormat="1" applyFont="1" applyFill="1" applyBorder="1" applyAlignment="1">
      <alignment horizontal="right" vertical="center" wrapText="1"/>
    </xf>
    <xf numFmtId="3" fontId="4" fillId="0" borderId="8" xfId="1" applyNumberFormat="1"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0" fontId="10" fillId="4" borderId="1" xfId="3" applyFont="1" applyFill="1" applyBorder="1" applyAlignment="1">
      <alignment horizontal="center" vertical="center" wrapText="1"/>
    </xf>
    <xf numFmtId="0" fontId="12" fillId="4" borderId="1" xfId="0" applyFont="1" applyFill="1" applyBorder="1" applyAlignment="1">
      <alignment horizontal="center" vertical="center" wrapText="1"/>
    </xf>
    <xf numFmtId="3" fontId="4" fillId="2" borderId="4" xfId="0" applyNumberFormat="1" applyFont="1" applyFill="1" applyBorder="1" applyAlignment="1">
      <alignment horizontal="right" vertical="center" wrapText="1"/>
    </xf>
    <xf numFmtId="3" fontId="4" fillId="2" borderId="8" xfId="0" applyNumberFormat="1" applyFont="1" applyFill="1" applyBorder="1" applyAlignment="1">
      <alignment horizontal="right" vertical="center" wrapText="1"/>
    </xf>
    <xf numFmtId="0" fontId="10" fillId="2" borderId="1" xfId="0" applyFont="1" applyFill="1" applyBorder="1" applyAlignment="1">
      <alignment horizontal="center" vertical="center" wrapText="1"/>
    </xf>
    <xf numFmtId="0" fontId="4" fillId="4" borderId="1" xfId="0" applyFont="1" applyFill="1" applyBorder="1" applyAlignment="1">
      <alignment horizontal="center" vertical="top" wrapText="1"/>
    </xf>
    <xf numFmtId="9" fontId="3" fillId="4" borderId="4" xfId="2" applyFont="1" applyFill="1" applyBorder="1" applyAlignment="1">
      <alignment horizontal="center" vertical="center" wrapText="1"/>
    </xf>
    <xf numFmtId="9" fontId="3" fillId="4" borderId="8" xfId="2" applyFont="1" applyFill="1" applyBorder="1" applyAlignment="1">
      <alignment horizontal="center" vertical="center" wrapText="1"/>
    </xf>
    <xf numFmtId="9" fontId="4" fillId="2" borderId="4" xfId="2" applyFont="1" applyFill="1" applyBorder="1" applyAlignment="1">
      <alignment horizontal="right" vertical="center" wrapText="1"/>
    </xf>
    <xf numFmtId="9" fontId="4" fillId="2" borderId="8" xfId="2" applyFont="1" applyFill="1" applyBorder="1" applyAlignment="1">
      <alignment horizontal="right" vertical="center" wrapText="1"/>
    </xf>
    <xf numFmtId="9" fontId="4" fillId="4" borderId="4" xfId="2" applyFont="1" applyFill="1" applyBorder="1" applyAlignment="1">
      <alignment horizontal="right" vertical="center" wrapText="1"/>
    </xf>
    <xf numFmtId="9" fontId="4" fillId="4" borderId="8" xfId="2" applyFont="1" applyFill="1" applyBorder="1" applyAlignment="1">
      <alignment horizontal="right" vertical="center" wrapText="1"/>
    </xf>
    <xf numFmtId="0" fontId="4" fillId="2" borderId="0" xfId="0" applyFont="1" applyFill="1" applyAlignment="1">
      <alignment horizontal="center" wrapText="1"/>
    </xf>
    <xf numFmtId="0" fontId="8" fillId="0" borderId="1" xfId="0" applyFont="1" applyBorder="1" applyAlignment="1">
      <alignment horizontal="center" vertical="center" wrapText="1"/>
    </xf>
    <xf numFmtId="3" fontId="4" fillId="0" borderId="4"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3" fontId="4" fillId="0" borderId="4"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9" fontId="3" fillId="0" borderId="4" xfId="2" applyFont="1" applyFill="1" applyBorder="1" applyAlignment="1">
      <alignment horizontal="center" vertical="center" wrapText="1"/>
    </xf>
    <xf numFmtId="9" fontId="3" fillId="0" borderId="8" xfId="2" applyFont="1" applyFill="1" applyBorder="1" applyAlignment="1">
      <alignment horizontal="center" vertical="center" wrapText="1"/>
    </xf>
    <xf numFmtId="3" fontId="4" fillId="0" borderId="1" xfId="0" applyNumberFormat="1" applyFont="1" applyBorder="1" applyAlignment="1">
      <alignment horizontal="center" vertical="center" wrapText="1"/>
    </xf>
    <xf numFmtId="9" fontId="3" fillId="2" borderId="4" xfId="2" applyFont="1" applyFill="1" applyBorder="1" applyAlignment="1">
      <alignment horizontal="right" vertical="center" wrapText="1"/>
    </xf>
    <xf numFmtId="9" fontId="3" fillId="2" borderId="8" xfId="2" applyFont="1" applyFill="1" applyBorder="1" applyAlignment="1">
      <alignment horizontal="right" vertical="center" wrapText="1"/>
    </xf>
    <xf numFmtId="3" fontId="8" fillId="0" borderId="1" xfId="0" applyNumberFormat="1" applyFont="1" applyBorder="1" applyAlignment="1">
      <alignment horizontal="center" vertical="center" wrapText="1"/>
    </xf>
    <xf numFmtId="0" fontId="4" fillId="0" borderId="1" xfId="3" applyFont="1" applyFill="1" applyBorder="1" applyAlignment="1">
      <alignment horizontal="center" vertical="center" wrapText="1"/>
    </xf>
    <xf numFmtId="9" fontId="3" fillId="0" borderId="4" xfId="2" applyFont="1" applyFill="1" applyBorder="1" applyAlignment="1">
      <alignment horizontal="right" vertical="center" wrapText="1"/>
    </xf>
    <xf numFmtId="9" fontId="3" fillId="0" borderId="8" xfId="2" applyFont="1" applyFill="1" applyBorder="1" applyAlignment="1">
      <alignment horizontal="right" vertical="center" wrapText="1"/>
    </xf>
    <xf numFmtId="3" fontId="4" fillId="0" borderId="7" xfId="0" applyNumberFormat="1" applyFont="1" applyBorder="1" applyAlignment="1">
      <alignment horizontal="right" vertical="center" wrapText="1"/>
    </xf>
    <xf numFmtId="3" fontId="8" fillId="0" borderId="7"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4" fillId="0" borderId="7" xfId="0" applyNumberFormat="1" applyFont="1" applyBorder="1" applyAlignment="1">
      <alignment horizontal="center" vertical="center" wrapText="1"/>
    </xf>
    <xf numFmtId="3" fontId="4" fillId="2" borderId="7" xfId="0" applyNumberFormat="1" applyFont="1" applyFill="1" applyBorder="1" applyAlignment="1">
      <alignment horizontal="right" vertical="center" wrapText="1"/>
    </xf>
    <xf numFmtId="3" fontId="8" fillId="2" borderId="7" xfId="0" applyNumberFormat="1" applyFont="1" applyFill="1" applyBorder="1" applyAlignment="1">
      <alignment horizontal="right" vertical="center" wrapText="1"/>
    </xf>
    <xf numFmtId="9" fontId="3" fillId="2" borderId="4" xfId="2" applyFont="1" applyFill="1" applyBorder="1" applyAlignment="1">
      <alignment horizontal="center" vertical="center" wrapText="1"/>
    </xf>
    <xf numFmtId="9" fontId="3" fillId="2" borderId="8" xfId="2" applyFont="1" applyFill="1" applyBorder="1" applyAlignment="1">
      <alignment horizontal="center" vertical="center" wrapText="1"/>
    </xf>
    <xf numFmtId="3" fontId="4" fillId="2" borderId="1"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9" fontId="4" fillId="0" borderId="4" xfId="2" applyFont="1" applyFill="1" applyBorder="1" applyAlignment="1">
      <alignment horizontal="right" vertical="center" wrapText="1"/>
    </xf>
    <xf numFmtId="9" fontId="4" fillId="0" borderId="8" xfId="2" applyFont="1" applyFill="1" applyBorder="1" applyAlignment="1">
      <alignment horizontal="right" vertical="center" wrapText="1"/>
    </xf>
    <xf numFmtId="3" fontId="4" fillId="0" borderId="4" xfId="1" applyNumberFormat="1" applyFont="1" applyFill="1" applyBorder="1" applyAlignment="1">
      <alignment horizontal="center" vertical="center" wrapText="1"/>
    </xf>
    <xf numFmtId="3" fontId="4" fillId="0" borderId="8" xfId="1" applyNumberFormat="1" applyFont="1" applyFill="1" applyBorder="1" applyAlignment="1">
      <alignment horizontal="center" vertical="center" wrapText="1"/>
    </xf>
    <xf numFmtId="0" fontId="4" fillId="0" borderId="0" xfId="0" applyFont="1" applyAlignment="1">
      <alignment horizontal="center" vertical="top" wrapText="1"/>
    </xf>
    <xf numFmtId="0" fontId="8" fillId="0" borderId="0" xfId="0" applyFont="1" applyAlignment="1">
      <alignment horizontal="center" vertical="top"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9" fontId="3" fillId="0" borderId="4" xfId="2" applyFont="1" applyBorder="1" applyAlignment="1">
      <alignment horizontal="center" vertical="center" wrapText="1"/>
    </xf>
    <xf numFmtId="9" fontId="3" fillId="0" borderId="7" xfId="2" applyFont="1" applyBorder="1" applyAlignment="1">
      <alignment horizontal="center" vertical="center" wrapText="1"/>
    </xf>
    <xf numFmtId="9" fontId="3" fillId="0" borderId="8" xfId="2" applyFont="1" applyBorder="1" applyAlignment="1">
      <alignment horizontal="center" vertical="center" wrapText="1"/>
    </xf>
    <xf numFmtId="0" fontId="2" fillId="0" borderId="0" xfId="0" applyFont="1" applyAlignment="1">
      <alignment horizontal="center"/>
    </xf>
    <xf numFmtId="0" fontId="5"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cellXfs>
  <cellStyles count="4">
    <cellStyle name="Comma" xfId="1" builtinId="3"/>
    <cellStyle name="Normal" xfId="0" builtinId="0"/>
    <cellStyle name="Percent" xfId="2" builtinId="5"/>
    <cellStyle name="Style 1" xfId="3" xr:uid="{889463BA-08EA-40AB-A1BE-DD85ECFF8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C57F9-D266-4A40-9C46-66D8DF6F1A62}">
  <sheetPr>
    <tabColor rgb="FF0070C0"/>
    <pageSetUpPr fitToPage="1"/>
  </sheetPr>
  <dimension ref="A1:AZ209"/>
  <sheetViews>
    <sheetView tabSelected="1" view="pageBreakPreview" zoomScale="85" zoomScaleNormal="85" zoomScaleSheetLayoutView="85" workbookViewId="0">
      <pane xSplit="5" ySplit="8" topLeftCell="F129" activePane="bottomRight" state="frozen"/>
      <selection pane="topRight" activeCell="F1" sqref="F1"/>
      <selection pane="bottomLeft" activeCell="A9" sqref="A9"/>
      <selection pane="bottomRight" activeCell="Y145" sqref="Y145"/>
    </sheetView>
  </sheetViews>
  <sheetFormatPr defaultColWidth="9.140625" defaultRowHeight="15"/>
  <cols>
    <col min="1" max="1" width="4.42578125" style="4" customWidth="1"/>
    <col min="2" max="2" width="6" style="4" customWidth="1"/>
    <col min="3" max="3" width="23.85546875" style="115" customWidth="1"/>
    <col min="4" max="4" width="14.85546875" style="4" customWidth="1"/>
    <col min="5" max="5" width="12.28515625" style="116" customWidth="1"/>
    <col min="6" max="6" width="12" style="116" customWidth="1"/>
    <col min="7" max="7" width="12.28515625" style="116" customWidth="1"/>
    <col min="8" max="8" width="14.7109375" style="116" customWidth="1"/>
    <col min="9" max="9" width="11.28515625" style="116" customWidth="1"/>
    <col min="10" max="10" width="12.28515625" style="116" customWidth="1"/>
    <col min="11" max="11" width="11.28515625" style="116" customWidth="1"/>
    <col min="12" max="12" width="12" style="116" customWidth="1"/>
    <col min="13" max="13" width="11.28515625" style="116" customWidth="1"/>
    <col min="14" max="14" width="12.28515625" style="116" customWidth="1"/>
    <col min="15" max="15" width="11.28515625" style="116" customWidth="1"/>
    <col min="16" max="16" width="12.28515625" style="116" customWidth="1"/>
    <col min="17" max="17" width="11.28515625" style="116" customWidth="1"/>
    <col min="18" max="18" width="12.28515625" style="116" customWidth="1"/>
    <col min="19" max="19" width="11.28515625" style="116" customWidth="1"/>
    <col min="20" max="20" width="12" style="116" customWidth="1"/>
    <col min="21" max="21" width="11.28515625" style="116" customWidth="1"/>
    <col min="22" max="22" width="12" style="116" customWidth="1"/>
    <col min="23" max="23" width="12.7109375" style="116" customWidth="1"/>
    <col min="24" max="24" width="12" style="116" customWidth="1"/>
    <col min="25" max="25" width="11.28515625" style="116" customWidth="1"/>
    <col min="26" max="26" width="12" style="116" hidden="1" customWidth="1"/>
    <col min="27" max="27" width="11.28515625" style="116" hidden="1" customWidth="1"/>
    <col min="28" max="28" width="12" style="116" customWidth="1"/>
    <col min="29" max="29" width="11.28515625" style="116" customWidth="1"/>
    <col min="30" max="30" width="12" style="116" hidden="1" customWidth="1"/>
    <col min="31" max="31" width="11.28515625" style="116" hidden="1" customWidth="1"/>
    <col min="32" max="32" width="12" style="116" hidden="1" customWidth="1"/>
    <col min="33" max="33" width="11.28515625" style="116" hidden="1" customWidth="1"/>
    <col min="34" max="34" width="12" style="116" hidden="1" customWidth="1"/>
    <col min="35" max="35" width="12.85546875" style="116" hidden="1" customWidth="1"/>
    <col min="36" max="36" width="12" style="116" hidden="1" customWidth="1"/>
    <col min="37" max="37" width="11.28515625" style="116" hidden="1" customWidth="1"/>
    <col min="38" max="38" width="12" style="116" bestFit="1" customWidth="1"/>
    <col min="39" max="39" width="13.42578125" style="116" customWidth="1"/>
    <col min="40" max="41" width="13.42578125" style="118" customWidth="1"/>
    <col min="42" max="42" width="13.42578125" style="119" customWidth="1"/>
    <col min="43" max="43" width="11.28515625" style="116" customWidth="1"/>
    <col min="44" max="44" width="9.85546875" style="4" bestFit="1" customWidth="1"/>
    <col min="45" max="45" width="9.85546875" style="4" customWidth="1"/>
    <col min="46" max="48" width="9.140625" style="4" customWidth="1"/>
    <col min="49" max="16384" width="9.140625" style="4"/>
  </cols>
  <sheetData>
    <row r="1" spans="1:52" ht="18.75">
      <c r="A1" s="232" t="s">
        <v>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1"/>
      <c r="AO1" s="1"/>
      <c r="AP1" s="2"/>
      <c r="AQ1" s="3"/>
    </row>
    <row r="2" spans="1:52">
      <c r="A2" s="233" t="s">
        <v>1</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5"/>
      <c r="AO2" s="5"/>
      <c r="AP2" s="6"/>
      <c r="AQ2" s="7"/>
    </row>
    <row r="3" spans="1:52">
      <c r="A3" s="3"/>
      <c r="B3" s="3"/>
      <c r="C3" s="8"/>
      <c r="D3" s="8"/>
      <c r="E3" s="9"/>
      <c r="F3" s="9"/>
      <c r="G3" s="9"/>
      <c r="H3" s="9"/>
      <c r="I3" s="10"/>
      <c r="J3" s="10"/>
      <c r="K3" s="10"/>
      <c r="L3" s="9"/>
      <c r="M3" s="9"/>
      <c r="N3" s="9"/>
      <c r="O3" s="9"/>
      <c r="P3" s="9"/>
      <c r="Q3" s="10"/>
      <c r="R3" s="9"/>
      <c r="S3" s="10"/>
      <c r="T3" s="9"/>
      <c r="U3" s="10"/>
      <c r="V3" s="9"/>
      <c r="W3" s="9"/>
      <c r="X3" s="11"/>
      <c r="Y3" s="10"/>
      <c r="Z3" s="9"/>
      <c r="AA3" s="10"/>
      <c r="AB3" s="9"/>
      <c r="AC3" s="10"/>
      <c r="AD3" s="9"/>
      <c r="AE3" s="10"/>
      <c r="AF3" s="9"/>
      <c r="AG3" s="10"/>
      <c r="AH3" s="9"/>
      <c r="AI3" s="10"/>
      <c r="AJ3" s="9"/>
      <c r="AK3" s="10"/>
      <c r="AL3" s="9"/>
      <c r="AM3" s="9"/>
      <c r="AN3" s="12"/>
      <c r="AO3" s="12"/>
      <c r="AP3" s="2"/>
      <c r="AQ3" s="10"/>
    </row>
    <row r="4" spans="1:52" ht="15" customHeight="1">
      <c r="A4" s="225" t="s">
        <v>2</v>
      </c>
      <c r="B4" s="225" t="s">
        <v>3</v>
      </c>
      <c r="C4" s="225" t="s">
        <v>4</v>
      </c>
      <c r="D4" s="225" t="s">
        <v>5</v>
      </c>
      <c r="E4" s="225" t="s">
        <v>6</v>
      </c>
      <c r="F4" s="234" t="s">
        <v>7</v>
      </c>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5" t="s">
        <v>8</v>
      </c>
      <c r="AM4" s="236"/>
      <c r="AN4" s="226" t="s">
        <v>9</v>
      </c>
      <c r="AO4" s="226" t="s">
        <v>10</v>
      </c>
      <c r="AP4" s="229" t="s">
        <v>11</v>
      </c>
      <c r="AQ4" s="226" t="s">
        <v>12</v>
      </c>
    </row>
    <row r="5" spans="1:52" s="14" customFormat="1" ht="16.5" customHeight="1">
      <c r="A5" s="225"/>
      <c r="B5" s="225"/>
      <c r="C5" s="225"/>
      <c r="D5" s="225"/>
      <c r="E5" s="225"/>
      <c r="F5" s="225" t="s">
        <v>13</v>
      </c>
      <c r="G5" s="225"/>
      <c r="H5" s="225" t="s">
        <v>14</v>
      </c>
      <c r="I5" s="225"/>
      <c r="J5" s="225" t="s">
        <v>15</v>
      </c>
      <c r="K5" s="225"/>
      <c r="L5" s="225" t="s">
        <v>16</v>
      </c>
      <c r="M5" s="225"/>
      <c r="N5" s="225" t="s">
        <v>17</v>
      </c>
      <c r="O5" s="225"/>
      <c r="P5" s="225" t="s">
        <v>18</v>
      </c>
      <c r="Q5" s="225"/>
      <c r="R5" s="225" t="s">
        <v>19</v>
      </c>
      <c r="S5" s="225"/>
      <c r="T5" s="225" t="s">
        <v>20</v>
      </c>
      <c r="U5" s="225"/>
      <c r="V5" s="225" t="s">
        <v>21</v>
      </c>
      <c r="W5" s="225"/>
      <c r="X5" s="225" t="s">
        <v>22</v>
      </c>
      <c r="Y5" s="225"/>
      <c r="Z5" s="225" t="s">
        <v>23</v>
      </c>
      <c r="AA5" s="225"/>
      <c r="AB5" s="225" t="s">
        <v>24</v>
      </c>
      <c r="AC5" s="225"/>
      <c r="AD5" s="225" t="s">
        <v>25</v>
      </c>
      <c r="AE5" s="225"/>
      <c r="AF5" s="225" t="s">
        <v>26</v>
      </c>
      <c r="AG5" s="225"/>
      <c r="AH5" s="225" t="s">
        <v>27</v>
      </c>
      <c r="AI5" s="225"/>
      <c r="AJ5" s="225" t="s">
        <v>28</v>
      </c>
      <c r="AK5" s="225"/>
      <c r="AL5" s="237"/>
      <c r="AM5" s="238"/>
      <c r="AN5" s="227"/>
      <c r="AO5" s="227"/>
      <c r="AP5" s="230"/>
      <c r="AQ5" s="227"/>
    </row>
    <row r="6" spans="1:52" s="14" customFormat="1" ht="14.25" customHeight="1">
      <c r="A6" s="225"/>
      <c r="B6" s="225"/>
      <c r="C6" s="225"/>
      <c r="D6" s="225"/>
      <c r="E6" s="225"/>
      <c r="F6" s="225" t="s">
        <v>29</v>
      </c>
      <c r="G6" s="225" t="s">
        <v>30</v>
      </c>
      <c r="H6" s="225" t="s">
        <v>29</v>
      </c>
      <c r="I6" s="225" t="s">
        <v>30</v>
      </c>
      <c r="J6" s="225" t="s">
        <v>29</v>
      </c>
      <c r="K6" s="225" t="s">
        <v>30</v>
      </c>
      <c r="L6" s="225" t="s">
        <v>29</v>
      </c>
      <c r="M6" s="225" t="s">
        <v>30</v>
      </c>
      <c r="N6" s="225" t="s">
        <v>29</v>
      </c>
      <c r="O6" s="225" t="s">
        <v>30</v>
      </c>
      <c r="P6" s="225" t="s">
        <v>29</v>
      </c>
      <c r="Q6" s="225" t="s">
        <v>30</v>
      </c>
      <c r="R6" s="225" t="s">
        <v>29</v>
      </c>
      <c r="S6" s="225" t="s">
        <v>30</v>
      </c>
      <c r="T6" s="225" t="s">
        <v>29</v>
      </c>
      <c r="U6" s="225" t="s">
        <v>30</v>
      </c>
      <c r="V6" s="225" t="s">
        <v>29</v>
      </c>
      <c r="W6" s="225" t="s">
        <v>30</v>
      </c>
      <c r="X6" s="225" t="s">
        <v>29</v>
      </c>
      <c r="Y6" s="225" t="s">
        <v>30</v>
      </c>
      <c r="Z6" s="225" t="s">
        <v>29</v>
      </c>
      <c r="AA6" s="225" t="s">
        <v>30</v>
      </c>
      <c r="AB6" s="225" t="s">
        <v>29</v>
      </c>
      <c r="AC6" s="225" t="s">
        <v>30</v>
      </c>
      <c r="AD6" s="225" t="s">
        <v>29</v>
      </c>
      <c r="AE6" s="225" t="s">
        <v>30</v>
      </c>
      <c r="AF6" s="225" t="s">
        <v>29</v>
      </c>
      <c r="AG6" s="225" t="s">
        <v>30</v>
      </c>
      <c r="AH6" s="225" t="s">
        <v>29</v>
      </c>
      <c r="AI6" s="225" t="s">
        <v>30</v>
      </c>
      <c r="AJ6" s="225" t="s">
        <v>29</v>
      </c>
      <c r="AK6" s="225" t="s">
        <v>30</v>
      </c>
      <c r="AL6" s="225" t="s">
        <v>29</v>
      </c>
      <c r="AM6" s="225" t="s">
        <v>30</v>
      </c>
      <c r="AN6" s="227"/>
      <c r="AO6" s="227"/>
      <c r="AP6" s="230"/>
      <c r="AQ6" s="227"/>
    </row>
    <row r="7" spans="1:52" s="14" customFormat="1" ht="29.25" customHeight="1">
      <c r="A7" s="225"/>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8"/>
      <c r="AO7" s="228"/>
      <c r="AP7" s="231"/>
      <c r="AQ7" s="228"/>
    </row>
    <row r="8" spans="1:52" ht="24.75" customHeight="1">
      <c r="A8" s="225" t="s">
        <v>31</v>
      </c>
      <c r="B8" s="225"/>
      <c r="C8" s="225"/>
      <c r="D8" s="225"/>
      <c r="E8" s="15"/>
      <c r="F8" s="15">
        <f>F12+F15+F18+F21+F18+F26+F29+F32+F35+F38+F41+F46+F49+F52+F55+F58+F61+F69+F72+F75+F78+F81+F84+F87+F92+F95+F98+F101+F105+F108+F111+F115+F123+F127+F130+F134+F139+F142+F145+F149+F152+F158+F162+F166+F170+F173+F177+F181+F186+F190+F193+F197+F202</f>
        <v>1278998.9542349998</v>
      </c>
      <c r="G8" s="15">
        <f t="shared" ref="G8:M8" si="0">G12+G15+G18+G21+G18+G26+G29+G32+G35+G38+G41+G46+G49+G52+G55+G58+G61+G69+G72+G75+G78+G81+G84+G87+G92+G95+G98+G101+G105+G108+G111+G115+G123+G127+G130+G134+G139+G142+G145+G149+G152+G158+G162+G166+G170+G173+G177+G181+G186+G190+G193+G197+G202</f>
        <v>21145806</v>
      </c>
      <c r="H8" s="15">
        <f t="shared" si="0"/>
        <v>1255205.9356460001</v>
      </c>
      <c r="I8" s="15">
        <f t="shared" si="0"/>
        <v>22306180</v>
      </c>
      <c r="J8" s="15">
        <f t="shared" si="0"/>
        <v>1300246.9831279996</v>
      </c>
      <c r="K8" s="15">
        <f t="shared" si="0"/>
        <v>19738204</v>
      </c>
      <c r="L8" s="15">
        <f t="shared" si="0"/>
        <v>3834451.873009</v>
      </c>
      <c r="M8" s="15">
        <f t="shared" si="0"/>
        <v>63114086</v>
      </c>
      <c r="N8" s="15">
        <f>N12+N15+N18+N21+N18+N26+N29+N32+N35+N38+N41+N46+N49+N52+N55+N58+N61+N69+N72+N75+N78+N81+N84+N87+N92+N95+N98+N101+N105+N108+N111+N115+N123+N127+N130+N134+N139+N142+N145+N149+N152+N158+N162+N166+N170+N173+N177+N181+N186+N190+N193+N197+N202</f>
        <v>1275823.7571449999</v>
      </c>
      <c r="O8" s="15">
        <f t="shared" ref="O8:AK8" si="1">O12+O15+O18+O21+O18+O26+O29+O32+O35+O38+O41+O46+O49+O52+O55+O58+O61+O69+O72+O75+O78+O81+O84+O87+O92+O95+O98+O101+O105+O108+O111+O115+O123+O127+O130+O134+O139+O142+O145+O149+O152+O158+O162+O166+O170+O173+O177+O181+O186+O190+O193+O197+O202</f>
        <v>20459004</v>
      </c>
      <c r="P8" s="15">
        <f t="shared" si="1"/>
        <v>1256968.2044689995</v>
      </c>
      <c r="Q8" s="15">
        <f t="shared" si="1"/>
        <v>19538244</v>
      </c>
      <c r="R8" s="15">
        <f t="shared" si="1"/>
        <v>1455406.4294840007</v>
      </c>
      <c r="S8" s="15">
        <f t="shared" si="1"/>
        <v>20306052</v>
      </c>
      <c r="T8" s="15">
        <f t="shared" si="1"/>
        <v>3988198.3910980001</v>
      </c>
      <c r="U8" s="15">
        <f t="shared" si="1"/>
        <v>60303300</v>
      </c>
      <c r="V8" s="15">
        <f>V12+V15+V18+V21+V18+V26+V29+V32+V35+V38+V41+V46+V49+V52+V55+V58+V61+V69+V72+V75+V78+V81+V84+V87+V92+V95+V98+V101+V105+V108+V111+V115+V123+V127+V130+V134+V139+V142+V145+V149+V152+V158+V162+V166+V170+V173+V177+V181+V186+V190+V193+V197+V202+V206</f>
        <v>1322859.8428060005</v>
      </c>
      <c r="W8" s="15">
        <f>W12+W15+W18+W21+W18+W26+W29+W32+W35+W38+W41+W46+W49+W52+W55+W58+W61+W69+W72+W75+W78+W81+W84+W87+W92+W95+W98+W101+W105+W108+W111+W115+W123+W127+W130+W134+W139+W142+W145+W149+W152+W158+W162+W166+W170+W173+W177+W181+W186+W190+W193+W197+W202+W206</f>
        <v>20612622</v>
      </c>
      <c r="X8" s="15">
        <f t="shared" si="1"/>
        <v>14420.784</v>
      </c>
      <c r="Y8" s="15">
        <f t="shared" si="1"/>
        <v>242649</v>
      </c>
      <c r="Z8" s="15">
        <f t="shared" si="1"/>
        <v>0</v>
      </c>
      <c r="AA8" s="15">
        <f t="shared" si="1"/>
        <v>0</v>
      </c>
      <c r="AB8" s="15">
        <f>AB12+AB15+AB18+AB21+AB18+AB26+AB29+AB32+AB35+AB38+AB41+AB46+AB49+AB52+AB55+AB58+AB61+AB69+AB72+AB75+AB78+AB81+AB84+AB87+AB92+AB95+AB98+AB101+AB105+AB108+AB111+AB115+AB123+AB127+AB130+AB134+AB139+AB142+AB145+AB149+AB152+AB158+AB162+AB166+AB170+AB173+AB177+AB181+AB186+AB190+AB193+AB197+AB202+AB206</f>
        <v>1402052.0168060004</v>
      </c>
      <c r="AC8" s="15">
        <f>AC12+AC15+AC18+AC21+AC18+AC26+AC29+AC32+AC35+AC38+AC41+AC46+AC49+AC52+AC55+AC58+AC61+AC69+AC72+AC75+AC78+AC81+AC84+AC87+AC92+AC95+AC98+AC101+AC105+AC108+AC111+AC115+AC123+AC127+AC130+AC134+AC139+AC142+AC145+AC149+AC152+AC158+AC162+AC166+AC170+AC173+AC177+AC181+AC186+AC190+AC193+AC197+AC202+AC206</f>
        <v>22212255</v>
      </c>
      <c r="AD8" s="15">
        <f t="shared" si="1"/>
        <v>0</v>
      </c>
      <c r="AE8" s="15">
        <f t="shared" si="1"/>
        <v>0</v>
      </c>
      <c r="AF8" s="15">
        <f t="shared" si="1"/>
        <v>0</v>
      </c>
      <c r="AG8" s="15">
        <f t="shared" si="1"/>
        <v>0</v>
      </c>
      <c r="AH8" s="15">
        <f t="shared" si="1"/>
        <v>0</v>
      </c>
      <c r="AI8" s="15">
        <f t="shared" si="1"/>
        <v>0</v>
      </c>
      <c r="AJ8" s="15">
        <f t="shared" si="1"/>
        <v>0</v>
      </c>
      <c r="AK8" s="15">
        <f t="shared" si="1"/>
        <v>0</v>
      </c>
      <c r="AL8" s="15">
        <f>AL12+AL15+AL18+AL21+AL18+AL26+AL29+AL32+AL35+AL38+AL41+AL46+AL49+AL52+AL55+AL58+AL61+AL69+AL72+AL75+AL78+AL81+AL84+AL87+AL92+AL95+AL98+AL101+AL105+AL108+AL111+AL115+AL123+AL127+AL130+AL134+AL139+AL142+AL145+AL149+AL152+AL158+AL162+AL166+AL170+AL173+AL177+AL181+AL186+AL190+AL193+AL197+AL202+AL206</f>
        <v>9168690.0919129997</v>
      </c>
      <c r="AM8" s="15" t="e">
        <f>AM12+AM15+AM18+AM21+AM18+AM26+AM29+AM32+AM35+AM38+AM41+AM46+AM49+AM52+AM55+AM58+AM61+AM69+AM72+AM75+AM78+AM81+AM84+AM87+AM92+AM95+AM98+AM101+AM105+AM108+AM111+AM115+AM123+AM127+AM130+AM134+AM139+AM142+AM145+AM149+AM152+AM158+AM162+AM166+AM170+AM173+AM177+AM181+AM186+AM190+AM193+AM197+AM202+AM206</f>
        <v>#VALUE!</v>
      </c>
      <c r="AN8" s="15"/>
      <c r="AO8" s="16">
        <v>4</v>
      </c>
      <c r="AP8" s="17"/>
      <c r="AQ8" s="15"/>
      <c r="AR8" s="18"/>
      <c r="AS8" s="18"/>
      <c r="AT8" s="18"/>
      <c r="AU8" s="18"/>
      <c r="AV8" s="18"/>
      <c r="AW8" s="18"/>
      <c r="AX8" s="18"/>
      <c r="AY8" s="18"/>
      <c r="AZ8" s="18"/>
    </row>
    <row r="9" spans="1:52">
      <c r="A9" s="13"/>
      <c r="B9" s="13"/>
      <c r="C9" s="13" t="s">
        <v>32</v>
      </c>
      <c r="D9" s="13"/>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7"/>
      <c r="AQ9" s="15"/>
    </row>
    <row r="10" spans="1:52" ht="39.75" customHeight="1">
      <c r="A10" s="145">
        <v>1</v>
      </c>
      <c r="B10" s="145">
        <v>1</v>
      </c>
      <c r="C10" s="145" t="s">
        <v>33</v>
      </c>
      <c r="D10" s="145" t="s">
        <v>34</v>
      </c>
      <c r="E10" s="20" t="s">
        <v>35</v>
      </c>
      <c r="F10" s="21">
        <v>3258.982</v>
      </c>
      <c r="G10" s="21">
        <f>65356+3131</f>
        <v>68487</v>
      </c>
      <c r="H10" s="21">
        <v>2672.7020000000002</v>
      </c>
      <c r="I10" s="21">
        <f>57237+2141</f>
        <v>59378</v>
      </c>
      <c r="J10" s="21">
        <f>2828.087</f>
        <v>2828.087</v>
      </c>
      <c r="K10" s="21">
        <f>56843+2822</f>
        <v>59665</v>
      </c>
      <c r="L10" s="21">
        <f>F10+H10+J10</f>
        <v>8759.7710000000006</v>
      </c>
      <c r="M10" s="21">
        <f>G10+I10+K10</f>
        <v>187530</v>
      </c>
      <c r="N10" s="21">
        <v>2684.8780000000002</v>
      </c>
      <c r="O10" s="21">
        <f>52277+2789</f>
        <v>55066</v>
      </c>
      <c r="P10" s="21">
        <v>2546.7109999999998</v>
      </c>
      <c r="Q10" s="21">
        <f>50102+2897</f>
        <v>52999</v>
      </c>
      <c r="R10" s="21">
        <v>2483.2959999999998</v>
      </c>
      <c r="S10" s="21">
        <f>49577+2648</f>
        <v>52225</v>
      </c>
      <c r="T10" s="21">
        <f>N10+P10+R10</f>
        <v>7714.8850000000002</v>
      </c>
      <c r="U10" s="22">
        <f>O10+Q10+S10</f>
        <v>160290</v>
      </c>
      <c r="V10" s="21">
        <f>2400.361</f>
        <v>2400.3609999999999</v>
      </c>
      <c r="W10" s="21">
        <f>48401+2552</f>
        <v>50953</v>
      </c>
      <c r="X10" s="21"/>
      <c r="Y10" s="21"/>
      <c r="Z10" s="21"/>
      <c r="AA10" s="21"/>
      <c r="AB10" s="21">
        <f>V10+X10+Z10</f>
        <v>2400.3609999999999</v>
      </c>
      <c r="AC10" s="21">
        <f>W10+Y10+AA10</f>
        <v>50953</v>
      </c>
      <c r="AD10" s="21"/>
      <c r="AE10" s="21"/>
      <c r="AF10" s="21"/>
      <c r="AG10" s="21"/>
      <c r="AH10" s="21"/>
      <c r="AI10" s="21"/>
      <c r="AJ10" s="21">
        <f>AD10+AF10+AH10</f>
        <v>0</v>
      </c>
      <c r="AK10" s="21">
        <f>AE10+AG10+AI10</f>
        <v>0</v>
      </c>
      <c r="AL10" s="21">
        <f>L10+T10+AB10+AJ10</f>
        <v>18875.017000000003</v>
      </c>
      <c r="AM10" s="21">
        <f>M10+U10+AC10+AK10</f>
        <v>398773</v>
      </c>
      <c r="AN10" s="149"/>
      <c r="AO10" s="149"/>
      <c r="AP10" s="189"/>
      <c r="AQ10" s="221"/>
      <c r="AR10" s="18"/>
      <c r="AS10" s="18"/>
    </row>
    <row r="11" spans="1:52" ht="39.75" customHeight="1">
      <c r="A11" s="145"/>
      <c r="B11" s="145"/>
      <c r="C11" s="145"/>
      <c r="D11" s="145"/>
      <c r="E11" s="20" t="s">
        <v>36</v>
      </c>
      <c r="F11" s="21">
        <f>0.482+54973.122</f>
        <v>54973.604000000007</v>
      </c>
      <c r="G11" s="21">
        <f>1061797+23143</f>
        <v>1084940</v>
      </c>
      <c r="H11" s="21">
        <f>43281.643+0.117</f>
        <v>43281.759999999995</v>
      </c>
      <c r="I11" s="21">
        <f>956967+20767</f>
        <v>977734</v>
      </c>
      <c r="J11" s="21">
        <f>55389.427+0.07+0.034</f>
        <v>55389.531000000003</v>
      </c>
      <c r="K11" s="21">
        <f>1068099+22842</f>
        <v>1090941</v>
      </c>
      <c r="L11" s="21">
        <f>F11+H11+J11</f>
        <v>153644.89500000002</v>
      </c>
      <c r="M11" s="21">
        <f>G11+I11+K11</f>
        <v>3153615</v>
      </c>
      <c r="N11" s="21">
        <v>50581.938000000002</v>
      </c>
      <c r="O11" s="21">
        <f>1000952+20303</f>
        <v>1021255</v>
      </c>
      <c r="P11" s="21">
        <f>48596.199+0.199</f>
        <v>48596.398000000001</v>
      </c>
      <c r="Q11" s="21">
        <v>1004839</v>
      </c>
      <c r="R11" s="21">
        <f>49406.029+0.049</f>
        <v>49406.078000000001</v>
      </c>
      <c r="S11" s="21">
        <f>982846+18629</f>
        <v>1001475</v>
      </c>
      <c r="T11" s="21">
        <f>N11+P11+R11</f>
        <v>148584.41400000002</v>
      </c>
      <c r="U11" s="22">
        <f>O11+Q11+S11</f>
        <v>3027569</v>
      </c>
      <c r="V11" s="21">
        <f>49789.669+0.035+0.142</f>
        <v>49789.846000000005</v>
      </c>
      <c r="W11" s="21">
        <f>996379+19101</f>
        <v>1015480</v>
      </c>
      <c r="X11" s="21"/>
      <c r="Y11" s="21"/>
      <c r="Z11" s="21"/>
      <c r="AA11" s="21"/>
      <c r="AB11" s="21">
        <f>V11+X11+Z11</f>
        <v>49789.846000000005</v>
      </c>
      <c r="AC11" s="21">
        <f>W11+Y11+AA11</f>
        <v>1015480</v>
      </c>
      <c r="AD11" s="21"/>
      <c r="AE11" s="21"/>
      <c r="AF11" s="21"/>
      <c r="AG11" s="21"/>
      <c r="AH11" s="21"/>
      <c r="AI11" s="21"/>
      <c r="AJ11" s="21">
        <f>AD11+AF11+AH11</f>
        <v>0</v>
      </c>
      <c r="AK11" s="21">
        <f>AE11+AG11+AI11</f>
        <v>0</v>
      </c>
      <c r="AL11" s="21">
        <f>L11+T11+AB11+AJ11</f>
        <v>352019.15500000003</v>
      </c>
      <c r="AM11" s="21">
        <f>M11+U11+AC11+AK11</f>
        <v>7196664</v>
      </c>
      <c r="AN11" s="150"/>
      <c r="AO11" s="150"/>
      <c r="AP11" s="190"/>
      <c r="AQ11" s="222"/>
    </row>
    <row r="12" spans="1:52" s="30" customFormat="1" ht="14.25">
      <c r="A12" s="146"/>
      <c r="B12" s="25"/>
      <c r="C12" s="25" t="s">
        <v>37</v>
      </c>
      <c r="D12" s="25"/>
      <c r="E12" s="26"/>
      <c r="F12" s="26">
        <f t="shared" ref="F12:AM12" si="2">SUM(F10:F11)</f>
        <v>58232.58600000001</v>
      </c>
      <c r="G12" s="26">
        <f t="shared" si="2"/>
        <v>1153427</v>
      </c>
      <c r="H12" s="26">
        <f t="shared" si="2"/>
        <v>45954.461999999992</v>
      </c>
      <c r="I12" s="26">
        <f t="shared" si="2"/>
        <v>1037112</v>
      </c>
      <c r="J12" s="26">
        <f t="shared" si="2"/>
        <v>58217.618000000002</v>
      </c>
      <c r="K12" s="26">
        <f t="shared" si="2"/>
        <v>1150606</v>
      </c>
      <c r="L12" s="26">
        <f t="shared" si="2"/>
        <v>162404.66600000003</v>
      </c>
      <c r="M12" s="26">
        <f t="shared" si="2"/>
        <v>3341145</v>
      </c>
      <c r="N12" s="26">
        <f t="shared" si="2"/>
        <v>53266.815999999999</v>
      </c>
      <c r="O12" s="26">
        <f t="shared" si="2"/>
        <v>1076321</v>
      </c>
      <c r="P12" s="26">
        <f t="shared" si="2"/>
        <v>51143.109000000004</v>
      </c>
      <c r="Q12" s="26">
        <f t="shared" si="2"/>
        <v>1057838</v>
      </c>
      <c r="R12" s="26">
        <f t="shared" si="2"/>
        <v>51889.374000000003</v>
      </c>
      <c r="S12" s="26">
        <f t="shared" si="2"/>
        <v>1053700</v>
      </c>
      <c r="T12" s="26">
        <f>SUM(T10:T11)</f>
        <v>156299.29900000003</v>
      </c>
      <c r="U12" s="26">
        <f t="shared" si="2"/>
        <v>3187859</v>
      </c>
      <c r="V12" s="26">
        <f t="shared" si="2"/>
        <v>52190.207000000002</v>
      </c>
      <c r="W12" s="26">
        <f t="shared" si="2"/>
        <v>1066433</v>
      </c>
      <c r="X12" s="26">
        <f t="shared" si="2"/>
        <v>0</v>
      </c>
      <c r="Y12" s="26">
        <f t="shared" si="2"/>
        <v>0</v>
      </c>
      <c r="Z12" s="26">
        <f t="shared" si="2"/>
        <v>0</v>
      </c>
      <c r="AA12" s="26">
        <f t="shared" si="2"/>
        <v>0</v>
      </c>
      <c r="AB12" s="26">
        <f t="shared" si="2"/>
        <v>52190.207000000002</v>
      </c>
      <c r="AC12" s="26">
        <f t="shared" si="2"/>
        <v>1066433</v>
      </c>
      <c r="AD12" s="26">
        <f t="shared" si="2"/>
        <v>0</v>
      </c>
      <c r="AE12" s="26">
        <f t="shared" si="2"/>
        <v>0</v>
      </c>
      <c r="AF12" s="26">
        <f t="shared" si="2"/>
        <v>0</v>
      </c>
      <c r="AG12" s="26">
        <f t="shared" si="2"/>
        <v>0</v>
      </c>
      <c r="AH12" s="26">
        <f t="shared" si="2"/>
        <v>0</v>
      </c>
      <c r="AI12" s="26">
        <f t="shared" si="2"/>
        <v>0</v>
      </c>
      <c r="AJ12" s="26">
        <f t="shared" si="2"/>
        <v>0</v>
      </c>
      <c r="AK12" s="26">
        <f t="shared" si="2"/>
        <v>0</v>
      </c>
      <c r="AL12" s="26">
        <f t="shared" si="2"/>
        <v>370894.17200000002</v>
      </c>
      <c r="AM12" s="26">
        <f t="shared" si="2"/>
        <v>7595437</v>
      </c>
      <c r="AN12" s="27">
        <v>551010</v>
      </c>
      <c r="AO12" s="27">
        <f>AN12/12*$AO$8</f>
        <v>183670</v>
      </c>
      <c r="AP12" s="28">
        <f>AL12/AO12</f>
        <v>2.0193508575161978</v>
      </c>
      <c r="AQ12" s="29"/>
    </row>
    <row r="13" spans="1:52" ht="24" customHeight="1">
      <c r="A13" s="151">
        <f>+A10+1</f>
        <v>2</v>
      </c>
      <c r="B13" s="151">
        <f>+B10+1</f>
        <v>2</v>
      </c>
      <c r="C13" s="151" t="s">
        <v>38</v>
      </c>
      <c r="D13" s="151" t="s">
        <v>39</v>
      </c>
      <c r="E13" s="31" t="s">
        <v>35</v>
      </c>
      <c r="F13" s="32">
        <v>0</v>
      </c>
      <c r="G13" s="32">
        <v>0</v>
      </c>
      <c r="H13" s="32">
        <v>0</v>
      </c>
      <c r="I13" s="32">
        <v>0</v>
      </c>
      <c r="J13" s="32">
        <v>0</v>
      </c>
      <c r="K13" s="32">
        <v>0</v>
      </c>
      <c r="L13" s="32">
        <f>F13+H13+J13</f>
        <v>0</v>
      </c>
      <c r="M13" s="32">
        <f>G13+I13+K13</f>
        <v>0</v>
      </c>
      <c r="N13" s="32">
        <v>0</v>
      </c>
      <c r="O13" s="32">
        <v>0</v>
      </c>
      <c r="P13" s="32">
        <v>0</v>
      </c>
      <c r="Q13" s="32">
        <v>0</v>
      </c>
      <c r="R13" s="32">
        <v>0</v>
      </c>
      <c r="S13" s="32">
        <v>0</v>
      </c>
      <c r="T13" s="32">
        <f>N13+P13+R13</f>
        <v>0</v>
      </c>
      <c r="U13" s="33">
        <f>O13+Q13+S13</f>
        <v>0</v>
      </c>
      <c r="V13" s="32">
        <v>0</v>
      </c>
      <c r="W13" s="32">
        <v>0</v>
      </c>
      <c r="X13" s="32"/>
      <c r="Y13" s="32"/>
      <c r="Z13" s="32"/>
      <c r="AA13" s="32"/>
      <c r="AB13" s="32">
        <f>V13+X13+Z13</f>
        <v>0</v>
      </c>
      <c r="AC13" s="32">
        <f>W13+Y13+AA13</f>
        <v>0</v>
      </c>
      <c r="AD13" s="32">
        <v>0</v>
      </c>
      <c r="AE13" s="32">
        <v>0</v>
      </c>
      <c r="AF13" s="32">
        <v>0</v>
      </c>
      <c r="AG13" s="32">
        <v>0</v>
      </c>
      <c r="AH13" s="32">
        <v>0</v>
      </c>
      <c r="AI13" s="32">
        <v>0</v>
      </c>
      <c r="AJ13" s="32">
        <f>AD13+AF13+AH13</f>
        <v>0</v>
      </c>
      <c r="AK13" s="32">
        <f>AE13+AG13+AI13</f>
        <v>0</v>
      </c>
      <c r="AL13" s="32">
        <f>L13+T13+AB13+AJ13</f>
        <v>0</v>
      </c>
      <c r="AM13" s="32">
        <f>M13+U13+AC13+AK13</f>
        <v>0</v>
      </c>
      <c r="AN13" s="173"/>
      <c r="AO13" s="173"/>
      <c r="AP13" s="219"/>
      <c r="AQ13" s="221"/>
      <c r="AT13" s="223" t="s">
        <v>40</v>
      </c>
      <c r="AU13" s="223"/>
      <c r="AV13" s="223"/>
    </row>
    <row r="14" spans="1:52" ht="24" customHeight="1">
      <c r="A14" s="151"/>
      <c r="B14" s="151"/>
      <c r="C14" s="151"/>
      <c r="D14" s="151"/>
      <c r="E14" s="31" t="s">
        <v>36</v>
      </c>
      <c r="F14" s="32">
        <v>88092.040234999993</v>
      </c>
      <c r="G14" s="32">
        <v>2361188</v>
      </c>
      <c r="H14" s="32">
        <v>94710.900320999994</v>
      </c>
      <c r="I14" s="32">
        <v>2601906</v>
      </c>
      <c r="J14" s="32">
        <v>92751.143928999998</v>
      </c>
      <c r="K14" s="32">
        <v>2362279</v>
      </c>
      <c r="L14" s="32">
        <f>F14+H14+J14</f>
        <v>275554.084485</v>
      </c>
      <c r="M14" s="32">
        <f>G14+I14+K14</f>
        <v>7325373</v>
      </c>
      <c r="N14" s="32">
        <v>89949.689436999994</v>
      </c>
      <c r="O14" s="32">
        <v>2383474</v>
      </c>
      <c r="P14" s="32">
        <v>84465.972972000003</v>
      </c>
      <c r="Q14" s="32">
        <v>2235967</v>
      </c>
      <c r="R14" s="32">
        <v>93286.994760999994</v>
      </c>
      <c r="S14" s="32">
        <v>2387280</v>
      </c>
      <c r="T14" s="32">
        <f>N14+P14+R14</f>
        <v>267702.65716999996</v>
      </c>
      <c r="U14" s="33">
        <f>O14+Q14+S14</f>
        <v>7006721</v>
      </c>
      <c r="V14" s="32">
        <v>91421.792805999998</v>
      </c>
      <c r="W14" s="32">
        <v>2429998</v>
      </c>
      <c r="X14" s="32"/>
      <c r="Y14" s="32"/>
      <c r="Z14" s="32"/>
      <c r="AA14" s="32"/>
      <c r="AB14" s="32">
        <f>V14+X14+Z14</f>
        <v>91421.792805999998</v>
      </c>
      <c r="AC14" s="32">
        <f>W14+Y14+AA14</f>
        <v>2429998</v>
      </c>
      <c r="AD14" s="32"/>
      <c r="AE14" s="32"/>
      <c r="AF14" s="32"/>
      <c r="AG14" s="32"/>
      <c r="AH14" s="32"/>
      <c r="AI14" s="32"/>
      <c r="AJ14" s="32">
        <f>AD14+AF14+AH14</f>
        <v>0</v>
      </c>
      <c r="AK14" s="32">
        <f>AE14+AG14+AI14</f>
        <v>0</v>
      </c>
      <c r="AL14" s="32">
        <f>L14+T14+AB14+AJ14</f>
        <v>634678.534461</v>
      </c>
      <c r="AM14" s="32">
        <f>M14+U14+AC14+AK14</f>
        <v>16762092</v>
      </c>
      <c r="AN14" s="174"/>
      <c r="AO14" s="174"/>
      <c r="AP14" s="220"/>
      <c r="AQ14" s="222"/>
      <c r="AT14" s="223"/>
      <c r="AU14" s="223"/>
      <c r="AV14" s="223"/>
    </row>
    <row r="15" spans="1:52" s="30" customFormat="1" ht="14.25" customHeight="1">
      <c r="A15" s="194"/>
      <c r="B15" s="194"/>
      <c r="C15" s="34" t="s">
        <v>37</v>
      </c>
      <c r="D15" s="34"/>
      <c r="E15" s="29"/>
      <c r="F15" s="29">
        <f t="shared" ref="F15:AM15" si="3">SUM(F13:F14)</f>
        <v>88092.040234999993</v>
      </c>
      <c r="G15" s="29">
        <f t="shared" si="3"/>
        <v>2361188</v>
      </c>
      <c r="H15" s="29">
        <f t="shared" si="3"/>
        <v>94710.900320999994</v>
      </c>
      <c r="I15" s="29">
        <f t="shared" si="3"/>
        <v>2601906</v>
      </c>
      <c r="J15" s="29">
        <f t="shared" si="3"/>
        <v>92751.143928999998</v>
      </c>
      <c r="K15" s="29">
        <f t="shared" si="3"/>
        <v>2362279</v>
      </c>
      <c r="L15" s="29">
        <f t="shared" si="3"/>
        <v>275554.084485</v>
      </c>
      <c r="M15" s="29">
        <f t="shared" si="3"/>
        <v>7325373</v>
      </c>
      <c r="N15" s="29">
        <f t="shared" si="3"/>
        <v>89949.689436999994</v>
      </c>
      <c r="O15" s="29">
        <f t="shared" si="3"/>
        <v>2383474</v>
      </c>
      <c r="P15" s="29">
        <f t="shared" si="3"/>
        <v>84465.972972000003</v>
      </c>
      <c r="Q15" s="29">
        <f t="shared" si="3"/>
        <v>2235967</v>
      </c>
      <c r="R15" s="29">
        <f t="shared" si="3"/>
        <v>93286.994760999994</v>
      </c>
      <c r="S15" s="29">
        <f t="shared" si="3"/>
        <v>2387280</v>
      </c>
      <c r="T15" s="29">
        <f>SUM(T13:T14)</f>
        <v>267702.65716999996</v>
      </c>
      <c r="U15" s="29">
        <f t="shared" si="3"/>
        <v>7006721</v>
      </c>
      <c r="V15" s="29">
        <f t="shared" si="3"/>
        <v>91421.792805999998</v>
      </c>
      <c r="W15" s="29">
        <f t="shared" si="3"/>
        <v>2429998</v>
      </c>
      <c r="X15" s="29">
        <f t="shared" si="3"/>
        <v>0</v>
      </c>
      <c r="Y15" s="29">
        <f t="shared" si="3"/>
        <v>0</v>
      </c>
      <c r="Z15" s="29">
        <f t="shared" si="3"/>
        <v>0</v>
      </c>
      <c r="AA15" s="29">
        <f t="shared" si="3"/>
        <v>0</v>
      </c>
      <c r="AB15" s="29">
        <f t="shared" si="3"/>
        <v>91421.792805999998</v>
      </c>
      <c r="AC15" s="29">
        <f t="shared" si="3"/>
        <v>2429998</v>
      </c>
      <c r="AD15" s="29">
        <f t="shared" si="3"/>
        <v>0</v>
      </c>
      <c r="AE15" s="29">
        <f t="shared" si="3"/>
        <v>0</v>
      </c>
      <c r="AF15" s="29">
        <f t="shared" si="3"/>
        <v>0</v>
      </c>
      <c r="AG15" s="29">
        <f t="shared" si="3"/>
        <v>0</v>
      </c>
      <c r="AH15" s="29">
        <f t="shared" si="3"/>
        <v>0</v>
      </c>
      <c r="AI15" s="29">
        <f t="shared" si="3"/>
        <v>0</v>
      </c>
      <c r="AJ15" s="29">
        <f t="shared" si="3"/>
        <v>0</v>
      </c>
      <c r="AK15" s="29">
        <f t="shared" si="3"/>
        <v>0</v>
      </c>
      <c r="AL15" s="29">
        <f t="shared" si="3"/>
        <v>634678.534461</v>
      </c>
      <c r="AM15" s="29">
        <f t="shared" si="3"/>
        <v>16762092</v>
      </c>
      <c r="AN15" s="27">
        <v>1054539</v>
      </c>
      <c r="AO15" s="27">
        <f>AN15/12*$AO$8</f>
        <v>351513</v>
      </c>
      <c r="AP15" s="28">
        <f>AL15/AO15</f>
        <v>1.805562054493006</v>
      </c>
      <c r="AQ15" s="29"/>
      <c r="AT15" s="224"/>
      <c r="AU15" s="224"/>
      <c r="AV15" s="224"/>
    </row>
    <row r="16" spans="1:52" s="35" customFormat="1" ht="39" customHeight="1">
      <c r="A16" s="145">
        <f>+A13+1</f>
        <v>3</v>
      </c>
      <c r="B16" s="145">
        <f>+B13+1</f>
        <v>3</v>
      </c>
      <c r="C16" s="145" t="s">
        <v>41</v>
      </c>
      <c r="D16" s="145" t="s">
        <v>42</v>
      </c>
      <c r="E16" s="20" t="s">
        <v>35</v>
      </c>
      <c r="F16" s="21">
        <v>168.46700000000001</v>
      </c>
      <c r="G16" s="21">
        <v>4417</v>
      </c>
      <c r="H16" s="21">
        <v>149.733</v>
      </c>
      <c r="I16" s="21">
        <v>5164</v>
      </c>
      <c r="J16" s="21">
        <v>189.93100000000001</v>
      </c>
      <c r="K16" s="21">
        <v>4255</v>
      </c>
      <c r="L16" s="21">
        <f>F16+H16+J16</f>
        <v>508.13100000000009</v>
      </c>
      <c r="M16" s="21">
        <f>G16+I16+K16</f>
        <v>13836</v>
      </c>
      <c r="N16" s="21">
        <v>155.23699999999999</v>
      </c>
      <c r="O16" s="21">
        <v>4241</v>
      </c>
      <c r="P16" s="21">
        <v>132.50700000000001</v>
      </c>
      <c r="Q16" s="21">
        <v>3373</v>
      </c>
      <c r="R16" s="21">
        <v>121.48699999999999</v>
      </c>
      <c r="S16" s="21">
        <f>190318+3427</f>
        <v>193745</v>
      </c>
      <c r="T16" s="21">
        <f>N16+P16+R16</f>
        <v>409.23099999999999</v>
      </c>
      <c r="U16" s="22">
        <f>O16+Q16+S16</f>
        <v>201359</v>
      </c>
      <c r="V16" s="21">
        <v>110.08499999999999</v>
      </c>
      <c r="W16" s="21">
        <v>2905</v>
      </c>
      <c r="X16" s="21"/>
      <c r="Y16" s="21"/>
      <c r="Z16" s="21"/>
      <c r="AA16" s="21"/>
      <c r="AB16" s="21">
        <f>V16+X16+Z16</f>
        <v>110.08499999999999</v>
      </c>
      <c r="AC16" s="21">
        <f>W16+Y16+AA16</f>
        <v>2905</v>
      </c>
      <c r="AD16" s="21"/>
      <c r="AE16" s="21"/>
      <c r="AF16" s="21"/>
      <c r="AG16" s="21"/>
      <c r="AH16" s="21"/>
      <c r="AI16" s="21"/>
      <c r="AJ16" s="21">
        <f>AD16+AF16+AH16</f>
        <v>0</v>
      </c>
      <c r="AK16" s="21">
        <f>AE16+AG16+AI16</f>
        <v>0</v>
      </c>
      <c r="AL16" s="21">
        <f>L16+T16+AB16+AJ16</f>
        <v>1027.4470000000001</v>
      </c>
      <c r="AM16" s="21">
        <f>M16+U16+AC16+AK16</f>
        <v>218100</v>
      </c>
      <c r="AN16" s="149"/>
      <c r="AO16" s="149"/>
      <c r="AP16" s="130"/>
      <c r="AQ16" s="132"/>
      <c r="AV16" s="4"/>
    </row>
    <row r="17" spans="1:48" s="35" customFormat="1" ht="39" customHeight="1">
      <c r="A17" s="145"/>
      <c r="B17" s="145"/>
      <c r="C17" s="145"/>
      <c r="D17" s="145"/>
      <c r="E17" s="20" t="s">
        <v>36</v>
      </c>
      <c r="F17" s="21">
        <v>5860.2839999999997</v>
      </c>
      <c r="G17" s="21">
        <v>191253</v>
      </c>
      <c r="H17" s="21">
        <v>7142.8980000000001</v>
      </c>
      <c r="I17" s="21">
        <v>216317</v>
      </c>
      <c r="J17" s="21">
        <v>7335.8010000000004</v>
      </c>
      <c r="K17" s="21">
        <v>197758</v>
      </c>
      <c r="L17" s="21">
        <f>F17+H17+J17</f>
        <v>20338.983</v>
      </c>
      <c r="M17" s="21">
        <f>G17+I17+K17</f>
        <v>605328</v>
      </c>
      <c r="N17" s="21">
        <v>6918.7359999999999</v>
      </c>
      <c r="O17" s="21">
        <v>211689</v>
      </c>
      <c r="P17" s="21">
        <v>5994.482</v>
      </c>
      <c r="Q17" s="21">
        <v>185572</v>
      </c>
      <c r="R17" s="21">
        <v>7303.4319999999998</v>
      </c>
      <c r="S17" s="21">
        <f>2348</f>
        <v>2348</v>
      </c>
      <c r="T17" s="21">
        <f>N17+P17+R17</f>
        <v>20216.650000000001</v>
      </c>
      <c r="U17" s="22">
        <f>O17+Q17+S17</f>
        <v>399609</v>
      </c>
      <c r="V17" s="21">
        <v>6277.3950000000004</v>
      </c>
      <c r="W17" s="21">
        <v>182751</v>
      </c>
      <c r="X17" s="21"/>
      <c r="Y17" s="21"/>
      <c r="Z17" s="21"/>
      <c r="AA17" s="21"/>
      <c r="AB17" s="21">
        <f>V17+X17+Z17</f>
        <v>6277.3950000000004</v>
      </c>
      <c r="AC17" s="21">
        <f>W17+Y17+AA17</f>
        <v>182751</v>
      </c>
      <c r="AD17" s="21"/>
      <c r="AE17" s="21"/>
      <c r="AF17" s="21"/>
      <c r="AG17" s="21"/>
      <c r="AH17" s="21"/>
      <c r="AI17" s="21"/>
      <c r="AJ17" s="21">
        <f>AD17+AF17+AH17</f>
        <v>0</v>
      </c>
      <c r="AK17" s="21">
        <f>AE17+AG17+AI17</f>
        <v>0</v>
      </c>
      <c r="AL17" s="21">
        <f>L17+T17+AB17+AJ17</f>
        <v>46833.028000000006</v>
      </c>
      <c r="AM17" s="21">
        <f>M17+U17+AC17+AK17</f>
        <v>1187688</v>
      </c>
      <c r="AN17" s="150"/>
      <c r="AO17" s="150"/>
      <c r="AP17" s="131"/>
      <c r="AQ17" s="133"/>
      <c r="AV17" s="4"/>
    </row>
    <row r="18" spans="1:48" s="36" customFormat="1" ht="14.25">
      <c r="A18" s="146"/>
      <c r="B18" s="146"/>
      <c r="C18" s="25" t="s">
        <v>37</v>
      </c>
      <c r="D18" s="25"/>
      <c r="E18" s="26"/>
      <c r="F18" s="26">
        <f t="shared" ref="F18:AM18" si="4">SUM(F16:F17)</f>
        <v>6028.7509999999993</v>
      </c>
      <c r="G18" s="26">
        <f t="shared" si="4"/>
        <v>195670</v>
      </c>
      <c r="H18" s="26">
        <f t="shared" si="4"/>
        <v>7292.6310000000003</v>
      </c>
      <c r="I18" s="26">
        <f t="shared" si="4"/>
        <v>221481</v>
      </c>
      <c r="J18" s="26">
        <f t="shared" si="4"/>
        <v>7525.732</v>
      </c>
      <c r="K18" s="26">
        <f t="shared" si="4"/>
        <v>202013</v>
      </c>
      <c r="L18" s="26">
        <f t="shared" si="4"/>
        <v>20847.114000000001</v>
      </c>
      <c r="M18" s="26">
        <f t="shared" si="4"/>
        <v>619164</v>
      </c>
      <c r="N18" s="26">
        <f t="shared" si="4"/>
        <v>7073.973</v>
      </c>
      <c r="O18" s="26">
        <f t="shared" si="4"/>
        <v>215930</v>
      </c>
      <c r="P18" s="26">
        <f t="shared" si="4"/>
        <v>6126.9889999999996</v>
      </c>
      <c r="Q18" s="26">
        <f t="shared" si="4"/>
        <v>188945</v>
      </c>
      <c r="R18" s="26">
        <f t="shared" si="4"/>
        <v>7424.9189999999999</v>
      </c>
      <c r="S18" s="26">
        <f t="shared" si="4"/>
        <v>196093</v>
      </c>
      <c r="T18" s="26">
        <f>SUM(T16:T17)</f>
        <v>20625.881000000001</v>
      </c>
      <c r="U18" s="26">
        <f t="shared" si="4"/>
        <v>600968</v>
      </c>
      <c r="V18" s="26">
        <f t="shared" si="4"/>
        <v>6387.4800000000005</v>
      </c>
      <c r="W18" s="26">
        <f t="shared" si="4"/>
        <v>185656</v>
      </c>
      <c r="X18" s="26">
        <f t="shared" si="4"/>
        <v>0</v>
      </c>
      <c r="Y18" s="26">
        <f t="shared" si="4"/>
        <v>0</v>
      </c>
      <c r="Z18" s="26">
        <f t="shared" si="4"/>
        <v>0</v>
      </c>
      <c r="AA18" s="26">
        <f t="shared" si="4"/>
        <v>0</v>
      </c>
      <c r="AB18" s="26">
        <f t="shared" si="4"/>
        <v>6387.4800000000005</v>
      </c>
      <c r="AC18" s="26">
        <f t="shared" si="4"/>
        <v>185656</v>
      </c>
      <c r="AD18" s="26">
        <f t="shared" si="4"/>
        <v>0</v>
      </c>
      <c r="AE18" s="26">
        <f t="shared" si="4"/>
        <v>0</v>
      </c>
      <c r="AF18" s="26">
        <f t="shared" si="4"/>
        <v>0</v>
      </c>
      <c r="AG18" s="26">
        <f t="shared" si="4"/>
        <v>0</v>
      </c>
      <c r="AH18" s="26">
        <f t="shared" si="4"/>
        <v>0</v>
      </c>
      <c r="AI18" s="26">
        <f t="shared" si="4"/>
        <v>0</v>
      </c>
      <c r="AJ18" s="26">
        <f t="shared" si="4"/>
        <v>0</v>
      </c>
      <c r="AK18" s="26">
        <f t="shared" si="4"/>
        <v>0</v>
      </c>
      <c r="AL18" s="26">
        <f>SUM(AL16:AL17)</f>
        <v>47860.475000000006</v>
      </c>
      <c r="AM18" s="26">
        <f t="shared" si="4"/>
        <v>1405788</v>
      </c>
      <c r="AN18" s="27">
        <v>158842</v>
      </c>
      <c r="AO18" s="27">
        <f>AN18/12*$AO$8</f>
        <v>52947.333333333336</v>
      </c>
      <c r="AP18" s="28">
        <f>AL18/AO18</f>
        <v>0.90392607119023938</v>
      </c>
      <c r="AQ18" s="26"/>
      <c r="AV18" s="30"/>
    </row>
    <row r="19" spans="1:48" ht="48.75" customHeight="1">
      <c r="A19" s="151">
        <f>A16+1</f>
        <v>4</v>
      </c>
      <c r="B19" s="151">
        <v>4</v>
      </c>
      <c r="C19" s="151" t="s">
        <v>43</v>
      </c>
      <c r="D19" s="151" t="s">
        <v>44</v>
      </c>
      <c r="E19" s="37" t="s">
        <v>35</v>
      </c>
      <c r="F19" s="33">
        <f>1682.923+66.115</f>
        <v>1749.038</v>
      </c>
      <c r="G19" s="33">
        <v>26524</v>
      </c>
      <c r="H19" s="33">
        <f>1454.526+41.59</f>
        <v>1496.116</v>
      </c>
      <c r="I19" s="33">
        <v>27321</v>
      </c>
      <c r="J19" s="33">
        <f>624.482+25856.76</f>
        <v>26481.241999999998</v>
      </c>
      <c r="K19" s="33">
        <v>246408</v>
      </c>
      <c r="L19" s="32">
        <f>F19+H19+J19</f>
        <v>29726.395999999997</v>
      </c>
      <c r="M19" s="32">
        <f>G19+I19+K19</f>
        <v>300253</v>
      </c>
      <c r="N19" s="33">
        <f>38.829+1963.327</f>
        <v>2002.1559999999999</v>
      </c>
      <c r="O19" s="33">
        <v>27529</v>
      </c>
      <c r="P19" s="33">
        <f>1503.591+36.482</f>
        <v>1540.0729999999999</v>
      </c>
      <c r="Q19" s="33">
        <v>21109</v>
      </c>
      <c r="R19" s="33">
        <f>1306.489+32.803</f>
        <v>1339.2919999999999</v>
      </c>
      <c r="S19" s="33">
        <v>18592</v>
      </c>
      <c r="T19" s="32">
        <f>N19+P19+R19</f>
        <v>4881.5209999999997</v>
      </c>
      <c r="U19" s="33">
        <f>O19+Q19+S19</f>
        <v>67230</v>
      </c>
      <c r="V19" s="33">
        <f>952.182+33.537</f>
        <v>985.71900000000005</v>
      </c>
      <c r="W19" s="33">
        <v>16286</v>
      </c>
      <c r="X19" s="33"/>
      <c r="Y19" s="33"/>
      <c r="Z19" s="33"/>
      <c r="AA19" s="33"/>
      <c r="AB19" s="32">
        <f>V19+X19+Z19</f>
        <v>985.71900000000005</v>
      </c>
      <c r="AC19" s="32">
        <f>W19+Y19+AA19</f>
        <v>16286</v>
      </c>
      <c r="AD19" s="33"/>
      <c r="AE19" s="33"/>
      <c r="AF19" s="33"/>
      <c r="AG19" s="33"/>
      <c r="AH19" s="33"/>
      <c r="AI19" s="33"/>
      <c r="AJ19" s="32">
        <f>AD19+AF19+AH19</f>
        <v>0</v>
      </c>
      <c r="AK19" s="32">
        <f>AE19+AG19+AI19</f>
        <v>0</v>
      </c>
      <c r="AL19" s="32">
        <f>L19+T19+AB19+AJ19</f>
        <v>35593.635999999991</v>
      </c>
      <c r="AM19" s="32">
        <f>M19+U19+AC19+AK19</f>
        <v>383769</v>
      </c>
      <c r="AN19" s="173"/>
      <c r="AO19" s="173"/>
      <c r="AP19" s="219"/>
      <c r="AQ19" s="221"/>
    </row>
    <row r="20" spans="1:48" ht="48.75" customHeight="1">
      <c r="A20" s="151"/>
      <c r="B20" s="151"/>
      <c r="C20" s="151"/>
      <c r="D20" s="151"/>
      <c r="E20" s="37" t="s">
        <v>36</v>
      </c>
      <c r="F20" s="33">
        <f>16577.291+561.587</f>
        <v>17138.878000000001</v>
      </c>
      <c r="G20" s="33">
        <v>195108</v>
      </c>
      <c r="H20" s="33">
        <f>14157.042+516.943</f>
        <v>14673.984999999999</v>
      </c>
      <c r="I20" s="33">
        <v>156834</v>
      </c>
      <c r="J20" s="33">
        <f>64.06+2027.73</f>
        <v>2091.79</v>
      </c>
      <c r="K20" s="33">
        <v>28245</v>
      </c>
      <c r="L20" s="32">
        <f>F20+H20+J20</f>
        <v>33904.652999999998</v>
      </c>
      <c r="M20" s="32">
        <f>G20+I20+K20</f>
        <v>380187</v>
      </c>
      <c r="N20" s="33">
        <f>27412.74+610.789</f>
        <v>28023.529000000002</v>
      </c>
      <c r="O20" s="33">
        <v>257349</v>
      </c>
      <c r="P20" s="33">
        <f>26938.478+674.875</f>
        <v>27613.352999999999</v>
      </c>
      <c r="Q20" s="33">
        <v>238285</v>
      </c>
      <c r="R20" s="33">
        <f>24128.504+645.653</f>
        <v>24774.156999999999</v>
      </c>
      <c r="S20" s="33">
        <v>222818</v>
      </c>
      <c r="T20" s="32">
        <f>N20+P20+R20</f>
        <v>80411.03899999999</v>
      </c>
      <c r="U20" s="33">
        <f>O20+Q20+S20</f>
        <v>718452</v>
      </c>
      <c r="V20" s="33">
        <f>10618.485+540.43</f>
        <v>11158.915000000001</v>
      </c>
      <c r="W20" s="33">
        <v>138704</v>
      </c>
      <c r="X20" s="33"/>
      <c r="Y20" s="33"/>
      <c r="Z20" s="33"/>
      <c r="AA20" s="33"/>
      <c r="AB20" s="32">
        <f>V20+X20+Z20</f>
        <v>11158.915000000001</v>
      </c>
      <c r="AC20" s="32">
        <f>W20+Y20+AA20</f>
        <v>138704</v>
      </c>
      <c r="AD20" s="33"/>
      <c r="AE20" s="33"/>
      <c r="AF20" s="33"/>
      <c r="AG20" s="33"/>
      <c r="AH20" s="33"/>
      <c r="AI20" s="33"/>
      <c r="AJ20" s="32">
        <f>AD20+AF20+AH20</f>
        <v>0</v>
      </c>
      <c r="AK20" s="32">
        <f>AE20+AG20+AI20</f>
        <v>0</v>
      </c>
      <c r="AL20" s="32">
        <f>L20+T20+AB20+AJ20</f>
        <v>125474.60699999999</v>
      </c>
      <c r="AM20" s="32">
        <f>M20+U20+AC20+AK20</f>
        <v>1237343</v>
      </c>
      <c r="AN20" s="174"/>
      <c r="AO20" s="174"/>
      <c r="AP20" s="220"/>
      <c r="AQ20" s="222"/>
    </row>
    <row r="21" spans="1:48" s="30" customFormat="1" ht="14.25">
      <c r="A21" s="194"/>
      <c r="B21" s="194"/>
      <c r="C21" s="34" t="s">
        <v>37</v>
      </c>
      <c r="D21" s="34"/>
      <c r="E21" s="38"/>
      <c r="F21" s="38">
        <f t="shared" ref="F21:AM21" si="5">SUM(F19:F20)</f>
        <v>18887.916000000001</v>
      </c>
      <c r="G21" s="38">
        <f t="shared" si="5"/>
        <v>221632</v>
      </c>
      <c r="H21" s="38">
        <f t="shared" si="5"/>
        <v>16170.100999999999</v>
      </c>
      <c r="I21" s="38">
        <f t="shared" si="5"/>
        <v>184155</v>
      </c>
      <c r="J21" s="38">
        <f t="shared" si="5"/>
        <v>28573.031999999999</v>
      </c>
      <c r="K21" s="38">
        <f t="shared" si="5"/>
        <v>274653</v>
      </c>
      <c r="L21" s="38">
        <f t="shared" si="5"/>
        <v>63631.048999999999</v>
      </c>
      <c r="M21" s="38">
        <f t="shared" si="5"/>
        <v>680440</v>
      </c>
      <c r="N21" s="38">
        <f t="shared" si="5"/>
        <v>30025.685000000001</v>
      </c>
      <c r="O21" s="38">
        <f t="shared" si="5"/>
        <v>284878</v>
      </c>
      <c r="P21" s="38">
        <f t="shared" si="5"/>
        <v>29153.425999999999</v>
      </c>
      <c r="Q21" s="38">
        <f t="shared" si="5"/>
        <v>259394</v>
      </c>
      <c r="R21" s="38">
        <f t="shared" si="5"/>
        <v>26113.449000000001</v>
      </c>
      <c r="S21" s="38">
        <f t="shared" si="5"/>
        <v>241410</v>
      </c>
      <c r="T21" s="38">
        <f>SUM(T19:T20)</f>
        <v>85292.559999999983</v>
      </c>
      <c r="U21" s="38">
        <f t="shared" si="5"/>
        <v>785682</v>
      </c>
      <c r="V21" s="29">
        <f t="shared" si="5"/>
        <v>12144.634000000002</v>
      </c>
      <c r="W21" s="29">
        <f t="shared" si="5"/>
        <v>154990</v>
      </c>
      <c r="X21" s="38">
        <f t="shared" si="5"/>
        <v>0</v>
      </c>
      <c r="Y21" s="38">
        <f t="shared" si="5"/>
        <v>0</v>
      </c>
      <c r="Z21" s="38">
        <f t="shared" si="5"/>
        <v>0</v>
      </c>
      <c r="AA21" s="38">
        <f t="shared" si="5"/>
        <v>0</v>
      </c>
      <c r="AB21" s="38">
        <f t="shared" si="5"/>
        <v>12144.634000000002</v>
      </c>
      <c r="AC21" s="38">
        <f t="shared" si="5"/>
        <v>154990</v>
      </c>
      <c r="AD21" s="38">
        <f t="shared" si="5"/>
        <v>0</v>
      </c>
      <c r="AE21" s="38">
        <f t="shared" si="5"/>
        <v>0</v>
      </c>
      <c r="AF21" s="38">
        <f t="shared" si="5"/>
        <v>0</v>
      </c>
      <c r="AG21" s="38">
        <f t="shared" si="5"/>
        <v>0</v>
      </c>
      <c r="AH21" s="38">
        <f t="shared" si="5"/>
        <v>0</v>
      </c>
      <c r="AI21" s="38">
        <f t="shared" si="5"/>
        <v>0</v>
      </c>
      <c r="AJ21" s="38">
        <f t="shared" si="5"/>
        <v>0</v>
      </c>
      <c r="AK21" s="38">
        <f t="shared" si="5"/>
        <v>0</v>
      </c>
      <c r="AL21" s="38">
        <f t="shared" si="5"/>
        <v>161068.24299999999</v>
      </c>
      <c r="AM21" s="38">
        <f t="shared" si="5"/>
        <v>1621112</v>
      </c>
      <c r="AN21" s="27">
        <v>422170</v>
      </c>
      <c r="AO21" s="27">
        <f>AN21/12*$AO$8</f>
        <v>140723.33333333334</v>
      </c>
      <c r="AP21" s="28">
        <f>AL21/AO21</f>
        <v>1.1445738186038799</v>
      </c>
      <c r="AQ21" s="29"/>
    </row>
    <row r="22" spans="1:48" ht="24" customHeight="1">
      <c r="A22" s="145">
        <f>+A19+1</f>
        <v>5</v>
      </c>
      <c r="B22" s="145">
        <f>+B19+1</f>
        <v>5</v>
      </c>
      <c r="C22" s="145" t="s">
        <v>45</v>
      </c>
      <c r="D22" s="145" t="s">
        <v>46</v>
      </c>
      <c r="E22" s="39" t="s">
        <v>35</v>
      </c>
      <c r="F22" s="40">
        <v>2176.1509999999998</v>
      </c>
      <c r="G22" s="40">
        <v>54490</v>
      </c>
      <c r="H22" s="22">
        <v>2918.0859999999998</v>
      </c>
      <c r="I22" s="22">
        <v>70947</v>
      </c>
      <c r="J22" s="22">
        <v>2010.625</v>
      </c>
      <c r="K22" s="22">
        <v>48702</v>
      </c>
      <c r="L22" s="40">
        <f t="shared" ref="L22:M25" si="6">F22+H22+J22</f>
        <v>7104.8619999999992</v>
      </c>
      <c r="M22" s="40">
        <f t="shared" si="6"/>
        <v>174139</v>
      </c>
      <c r="N22" s="22">
        <v>2001.5129999999999</v>
      </c>
      <c r="O22" s="40">
        <v>48377</v>
      </c>
      <c r="P22" s="22">
        <v>1785.1</v>
      </c>
      <c r="Q22" s="40">
        <v>43025</v>
      </c>
      <c r="R22" s="22">
        <v>12852.444</v>
      </c>
      <c r="S22" s="40">
        <v>47039</v>
      </c>
      <c r="T22" s="41">
        <f t="shared" ref="T22:U25" si="7">N22+P22+R22</f>
        <v>16639.057000000001</v>
      </c>
      <c r="U22" s="40">
        <f t="shared" si="7"/>
        <v>138441</v>
      </c>
      <c r="V22" s="40">
        <v>1931.5740000000001</v>
      </c>
      <c r="W22" s="40">
        <v>46237</v>
      </c>
      <c r="X22" s="22"/>
      <c r="Y22" s="40"/>
      <c r="Z22" s="22"/>
      <c r="AA22" s="40"/>
      <c r="AB22" s="22">
        <f t="shared" ref="AB22:AC25" si="8">V22+X22+Z22</f>
        <v>1931.5740000000001</v>
      </c>
      <c r="AC22" s="40">
        <f t="shared" si="8"/>
        <v>46237</v>
      </c>
      <c r="AD22" s="22"/>
      <c r="AE22" s="40"/>
      <c r="AF22" s="22"/>
      <c r="AG22" s="40"/>
      <c r="AH22" s="22"/>
      <c r="AI22" s="40"/>
      <c r="AJ22" s="22">
        <f t="shared" ref="AJ22:AK25" si="9">AD22+AF22+AH22</f>
        <v>0</v>
      </c>
      <c r="AK22" s="40">
        <f t="shared" si="9"/>
        <v>0</v>
      </c>
      <c r="AL22" s="21">
        <f t="shared" ref="AL22:AM25" si="10">L22+T22+AB22+AJ22</f>
        <v>25675.493000000002</v>
      </c>
      <c r="AM22" s="40">
        <f t="shared" si="10"/>
        <v>358817</v>
      </c>
      <c r="AN22" s="183"/>
      <c r="AO22" s="132"/>
      <c r="AP22" s="130"/>
      <c r="AQ22" s="217"/>
    </row>
    <row r="23" spans="1:48" ht="23.25" customHeight="1">
      <c r="A23" s="145"/>
      <c r="B23" s="145"/>
      <c r="C23" s="145"/>
      <c r="D23" s="145"/>
      <c r="E23" s="39" t="s">
        <v>36</v>
      </c>
      <c r="F23" s="40">
        <v>3907.7660000000001</v>
      </c>
      <c r="G23" s="40">
        <v>399265</v>
      </c>
      <c r="H23" s="22">
        <v>5881.9570000000003</v>
      </c>
      <c r="I23" s="22">
        <v>485428</v>
      </c>
      <c r="J23" s="22">
        <v>4134.0309999999999</v>
      </c>
      <c r="K23" s="22">
        <v>391426</v>
      </c>
      <c r="L23" s="40">
        <f t="shared" si="6"/>
        <v>13923.754000000001</v>
      </c>
      <c r="M23" s="40">
        <f t="shared" si="6"/>
        <v>1276119</v>
      </c>
      <c r="N23" s="22">
        <v>4157.87</v>
      </c>
      <c r="O23" s="40">
        <v>381503</v>
      </c>
      <c r="P23" s="22">
        <v>3490.674</v>
      </c>
      <c r="Q23" s="40">
        <v>362757</v>
      </c>
      <c r="R23" s="22">
        <v>25428.482</v>
      </c>
      <c r="S23" s="40">
        <v>375959</v>
      </c>
      <c r="T23" s="41">
        <f t="shared" si="7"/>
        <v>33077.025999999998</v>
      </c>
      <c r="U23" s="40">
        <f t="shared" si="7"/>
        <v>1120219</v>
      </c>
      <c r="V23" s="40">
        <v>3654.4479999999999</v>
      </c>
      <c r="W23" s="40">
        <v>381955</v>
      </c>
      <c r="X23" s="22"/>
      <c r="Y23" s="40"/>
      <c r="Z23" s="22"/>
      <c r="AA23" s="40"/>
      <c r="AB23" s="22">
        <f t="shared" si="8"/>
        <v>3654.4479999999999</v>
      </c>
      <c r="AC23" s="40">
        <f t="shared" si="8"/>
        <v>381955</v>
      </c>
      <c r="AD23" s="22"/>
      <c r="AE23" s="40"/>
      <c r="AF23" s="22"/>
      <c r="AG23" s="40"/>
      <c r="AH23" s="22"/>
      <c r="AI23" s="40"/>
      <c r="AJ23" s="22">
        <f t="shared" si="9"/>
        <v>0</v>
      </c>
      <c r="AK23" s="40">
        <f t="shared" si="9"/>
        <v>0</v>
      </c>
      <c r="AL23" s="21">
        <f t="shared" si="10"/>
        <v>50655.227999999996</v>
      </c>
      <c r="AM23" s="40">
        <f t="shared" si="10"/>
        <v>2778293</v>
      </c>
      <c r="AN23" s="213"/>
      <c r="AO23" s="171"/>
      <c r="AP23" s="172"/>
      <c r="AQ23" s="217"/>
    </row>
    <row r="24" spans="1:48" ht="26.25" customHeight="1">
      <c r="A24" s="145"/>
      <c r="B24" s="145">
        <f>B22+1</f>
        <v>6</v>
      </c>
      <c r="C24" s="145"/>
      <c r="D24" s="145" t="s">
        <v>47</v>
      </c>
      <c r="E24" s="39" t="s">
        <v>35</v>
      </c>
      <c r="F24" s="40">
        <v>2740.7730000000001</v>
      </c>
      <c r="G24" s="40">
        <v>29662</v>
      </c>
      <c r="H24" s="22">
        <v>2380.2570000000001</v>
      </c>
      <c r="I24" s="22">
        <v>35867</v>
      </c>
      <c r="J24" s="22">
        <v>2227.16</v>
      </c>
      <c r="K24" s="22">
        <v>26813</v>
      </c>
      <c r="L24" s="40">
        <f t="shared" si="6"/>
        <v>7348.1900000000005</v>
      </c>
      <c r="M24" s="40">
        <f t="shared" si="6"/>
        <v>92342</v>
      </c>
      <c r="N24" s="22">
        <v>2290.2289999999998</v>
      </c>
      <c r="O24" s="40">
        <v>27100</v>
      </c>
      <c r="P24" s="22">
        <v>2404.886</v>
      </c>
      <c r="Q24" s="40">
        <v>28080</v>
      </c>
      <c r="R24" s="22">
        <v>14289.246999999999</v>
      </c>
      <c r="S24" s="40">
        <v>27915</v>
      </c>
      <c r="T24" s="41">
        <f t="shared" si="7"/>
        <v>18984.362000000001</v>
      </c>
      <c r="U24" s="40">
        <f t="shared" si="7"/>
        <v>83095</v>
      </c>
      <c r="V24" s="40">
        <v>1801.104</v>
      </c>
      <c r="W24" s="40">
        <v>20440</v>
      </c>
      <c r="X24" s="22"/>
      <c r="Y24" s="40"/>
      <c r="Z24" s="22"/>
      <c r="AA24" s="40"/>
      <c r="AB24" s="22">
        <f t="shared" si="8"/>
        <v>1801.104</v>
      </c>
      <c r="AC24" s="40">
        <f t="shared" si="8"/>
        <v>20440</v>
      </c>
      <c r="AD24" s="22"/>
      <c r="AE24" s="40"/>
      <c r="AF24" s="22"/>
      <c r="AG24" s="40"/>
      <c r="AH24" s="22"/>
      <c r="AI24" s="40"/>
      <c r="AJ24" s="22">
        <f t="shared" si="9"/>
        <v>0</v>
      </c>
      <c r="AK24" s="40">
        <f t="shared" si="9"/>
        <v>0</v>
      </c>
      <c r="AL24" s="21">
        <f t="shared" si="10"/>
        <v>28133.656000000003</v>
      </c>
      <c r="AM24" s="40">
        <f t="shared" si="10"/>
        <v>195877</v>
      </c>
      <c r="AN24" s="213"/>
      <c r="AO24" s="171"/>
      <c r="AP24" s="172"/>
      <c r="AQ24" s="217"/>
    </row>
    <row r="25" spans="1:48" ht="33.75" customHeight="1">
      <c r="A25" s="145"/>
      <c r="B25" s="145"/>
      <c r="C25" s="145"/>
      <c r="D25" s="145"/>
      <c r="E25" s="39" t="s">
        <v>36</v>
      </c>
      <c r="F25" s="40">
        <v>22700.29</v>
      </c>
      <c r="G25" s="22">
        <v>195653</v>
      </c>
      <c r="H25" s="22">
        <v>20575.165000000001</v>
      </c>
      <c r="I25" s="22">
        <v>226191</v>
      </c>
      <c r="J25" s="22">
        <v>24297.124</v>
      </c>
      <c r="K25" s="22">
        <v>219350</v>
      </c>
      <c r="L25" s="40">
        <f t="shared" si="6"/>
        <v>67572.578999999998</v>
      </c>
      <c r="M25" s="40">
        <f t="shared" si="6"/>
        <v>641194</v>
      </c>
      <c r="N25" s="22">
        <v>25220.845000000001</v>
      </c>
      <c r="O25" s="22">
        <v>220822</v>
      </c>
      <c r="P25" s="22">
        <v>26692.41</v>
      </c>
      <c r="Q25" s="22">
        <v>240092</v>
      </c>
      <c r="R25" s="22">
        <v>145246.986</v>
      </c>
      <c r="S25" s="22">
        <v>253480</v>
      </c>
      <c r="T25" s="41">
        <f t="shared" si="7"/>
        <v>197160.24100000001</v>
      </c>
      <c r="U25" s="40">
        <f t="shared" si="7"/>
        <v>714394</v>
      </c>
      <c r="V25" s="40">
        <v>19168.343000000001</v>
      </c>
      <c r="W25" s="40">
        <v>160492</v>
      </c>
      <c r="X25" s="22"/>
      <c r="Y25" s="40"/>
      <c r="Z25" s="22"/>
      <c r="AA25" s="40"/>
      <c r="AB25" s="22">
        <f t="shared" si="8"/>
        <v>19168.343000000001</v>
      </c>
      <c r="AC25" s="40">
        <f t="shared" si="8"/>
        <v>160492</v>
      </c>
      <c r="AD25" s="22"/>
      <c r="AE25" s="22"/>
      <c r="AF25" s="22"/>
      <c r="AG25" s="22"/>
      <c r="AH25" s="22"/>
      <c r="AI25" s="22"/>
      <c r="AJ25" s="22">
        <f t="shared" si="9"/>
        <v>0</v>
      </c>
      <c r="AK25" s="40">
        <f t="shared" si="9"/>
        <v>0</v>
      </c>
      <c r="AL25" s="21">
        <f t="shared" si="10"/>
        <v>283901.163</v>
      </c>
      <c r="AM25" s="40">
        <f t="shared" si="10"/>
        <v>1516080</v>
      </c>
      <c r="AN25" s="184"/>
      <c r="AO25" s="133"/>
      <c r="AP25" s="131"/>
      <c r="AQ25" s="22"/>
    </row>
    <row r="26" spans="1:48" s="30" customFormat="1" ht="14.25">
      <c r="A26" s="25"/>
      <c r="B26" s="25"/>
      <c r="C26" s="25" t="s">
        <v>37</v>
      </c>
      <c r="D26" s="43"/>
      <c r="E26" s="26"/>
      <c r="F26" s="26">
        <f t="shared" ref="F26:AM26" si="11">SUM(F22:F25)</f>
        <v>31524.98</v>
      </c>
      <c r="G26" s="26">
        <f t="shared" si="11"/>
        <v>679070</v>
      </c>
      <c r="H26" s="26">
        <f t="shared" si="11"/>
        <v>31755.465</v>
      </c>
      <c r="I26" s="26">
        <f t="shared" si="11"/>
        <v>818433</v>
      </c>
      <c r="J26" s="26">
        <f t="shared" si="11"/>
        <v>32668.94</v>
      </c>
      <c r="K26" s="26">
        <f t="shared" si="11"/>
        <v>686291</v>
      </c>
      <c r="L26" s="26">
        <f t="shared" si="11"/>
        <v>95949.385000000009</v>
      </c>
      <c r="M26" s="26">
        <f t="shared" si="11"/>
        <v>2183794</v>
      </c>
      <c r="N26" s="26">
        <f t="shared" si="11"/>
        <v>33670.457000000002</v>
      </c>
      <c r="O26" s="26">
        <f t="shared" si="11"/>
        <v>677802</v>
      </c>
      <c r="P26" s="26">
        <f t="shared" si="11"/>
        <v>34373.07</v>
      </c>
      <c r="Q26" s="26">
        <f t="shared" si="11"/>
        <v>673954</v>
      </c>
      <c r="R26" s="26">
        <f t="shared" si="11"/>
        <v>197817.15899999999</v>
      </c>
      <c r="S26" s="26">
        <f t="shared" si="11"/>
        <v>704393</v>
      </c>
      <c r="T26" s="26">
        <f>SUM(T22:T25)</f>
        <v>265860.68599999999</v>
      </c>
      <c r="U26" s="26">
        <f t="shared" si="11"/>
        <v>2056149</v>
      </c>
      <c r="V26" s="26">
        <f t="shared" si="11"/>
        <v>26555.469000000001</v>
      </c>
      <c r="W26" s="26">
        <f t="shared" si="11"/>
        <v>609124</v>
      </c>
      <c r="X26" s="26">
        <f t="shared" si="11"/>
        <v>0</v>
      </c>
      <c r="Y26" s="26">
        <f t="shared" si="11"/>
        <v>0</v>
      </c>
      <c r="Z26" s="26">
        <f t="shared" si="11"/>
        <v>0</v>
      </c>
      <c r="AA26" s="26">
        <f t="shared" si="11"/>
        <v>0</v>
      </c>
      <c r="AB26" s="26">
        <f t="shared" si="11"/>
        <v>26555.469000000001</v>
      </c>
      <c r="AC26" s="26">
        <f t="shared" si="11"/>
        <v>609124</v>
      </c>
      <c r="AD26" s="26">
        <f t="shared" si="11"/>
        <v>0</v>
      </c>
      <c r="AE26" s="26">
        <f t="shared" si="11"/>
        <v>0</v>
      </c>
      <c r="AF26" s="26">
        <f t="shared" si="11"/>
        <v>0</v>
      </c>
      <c r="AG26" s="26">
        <f t="shared" si="11"/>
        <v>0</v>
      </c>
      <c r="AH26" s="26">
        <f t="shared" si="11"/>
        <v>0</v>
      </c>
      <c r="AI26" s="26">
        <f t="shared" si="11"/>
        <v>0</v>
      </c>
      <c r="AJ26" s="26">
        <f t="shared" si="11"/>
        <v>0</v>
      </c>
      <c r="AK26" s="26">
        <f t="shared" si="11"/>
        <v>0</v>
      </c>
      <c r="AL26" s="26">
        <f t="shared" si="11"/>
        <v>388365.54</v>
      </c>
      <c r="AM26" s="26">
        <f t="shared" si="11"/>
        <v>4849067</v>
      </c>
      <c r="AN26" s="27">
        <v>385570</v>
      </c>
      <c r="AO26" s="27">
        <f>AN26/12*$AO$8</f>
        <v>128523.33333333333</v>
      </c>
      <c r="AP26" s="28">
        <f>AL26/AO26</f>
        <v>3.021751225458412</v>
      </c>
      <c r="AQ26" s="26"/>
    </row>
    <row r="27" spans="1:48" ht="24.75" customHeight="1">
      <c r="A27" s="151">
        <f>A22+1</f>
        <v>6</v>
      </c>
      <c r="B27" s="151">
        <v>7</v>
      </c>
      <c r="C27" s="151" t="s">
        <v>48</v>
      </c>
      <c r="D27" s="151" t="s">
        <v>49</v>
      </c>
      <c r="E27" s="37" t="s">
        <v>35</v>
      </c>
      <c r="F27" s="33">
        <v>2798.7849999999999</v>
      </c>
      <c r="G27" s="33">
        <v>33777</v>
      </c>
      <c r="H27" s="33">
        <v>2509.3000000000002</v>
      </c>
      <c r="I27" s="33">
        <v>44713</v>
      </c>
      <c r="J27" s="33">
        <v>2802.4929999999999</v>
      </c>
      <c r="K27" s="33">
        <v>34108</v>
      </c>
      <c r="L27" s="32">
        <f>F27+H27+J27</f>
        <v>8110.5779999999995</v>
      </c>
      <c r="M27" s="32">
        <f>G27+I27+K27</f>
        <v>112598</v>
      </c>
      <c r="N27" s="33">
        <v>2744.26</v>
      </c>
      <c r="O27" s="33">
        <v>35661</v>
      </c>
      <c r="P27" s="33">
        <v>2209.2919999999999</v>
      </c>
      <c r="Q27" s="33">
        <v>30253</v>
      </c>
      <c r="R27" s="33">
        <v>2403.5680000000002</v>
      </c>
      <c r="S27" s="33">
        <v>33935</v>
      </c>
      <c r="T27" s="32">
        <f>N27+P27+R27</f>
        <v>7357.12</v>
      </c>
      <c r="U27" s="33">
        <f>O27+Q27+S27</f>
        <v>99849</v>
      </c>
      <c r="V27" s="33">
        <v>2620.2089999999998</v>
      </c>
      <c r="W27" s="33">
        <v>37259</v>
      </c>
      <c r="X27" s="33"/>
      <c r="Y27" s="33"/>
      <c r="Z27" s="33"/>
      <c r="AA27" s="33"/>
      <c r="AB27" s="32">
        <f>V27+X27+Z27</f>
        <v>2620.2089999999998</v>
      </c>
      <c r="AC27" s="44">
        <f>W27+Y27+AA27</f>
        <v>37259</v>
      </c>
      <c r="AD27" s="33"/>
      <c r="AE27" s="33"/>
      <c r="AF27" s="33"/>
      <c r="AG27" s="33"/>
      <c r="AH27" s="33"/>
      <c r="AI27" s="33"/>
      <c r="AJ27" s="32">
        <f>AD27+AF27+AH27</f>
        <v>0</v>
      </c>
      <c r="AK27" s="32">
        <f>AE27+AG27+AI27</f>
        <v>0</v>
      </c>
      <c r="AL27" s="32">
        <f>L27+T27+AB27+AJ27</f>
        <v>18087.906999999999</v>
      </c>
      <c r="AM27" s="32">
        <f>M27+U27+AC27+AK27</f>
        <v>249706</v>
      </c>
      <c r="AN27" s="173"/>
      <c r="AO27" s="173"/>
      <c r="AP27" s="45"/>
      <c r="AQ27" s="32"/>
    </row>
    <row r="28" spans="1:48" ht="21.75" customHeight="1">
      <c r="A28" s="151"/>
      <c r="B28" s="151"/>
      <c r="C28" s="151"/>
      <c r="D28" s="151"/>
      <c r="E28" s="37" t="s">
        <v>36</v>
      </c>
      <c r="F28" s="33">
        <v>25444.335999999999</v>
      </c>
      <c r="G28" s="33">
        <v>253770</v>
      </c>
      <c r="H28" s="33">
        <v>22910.306</v>
      </c>
      <c r="I28" s="33">
        <v>300914</v>
      </c>
      <c r="J28" s="33">
        <v>25194.179</v>
      </c>
      <c r="K28" s="33">
        <v>255972</v>
      </c>
      <c r="L28" s="32">
        <f>F28+H28+J28</f>
        <v>73548.820999999996</v>
      </c>
      <c r="M28" s="32">
        <f>G28+I28+K28</f>
        <v>810656</v>
      </c>
      <c r="N28" s="33">
        <v>26515.080999999998</v>
      </c>
      <c r="O28" s="33">
        <v>271917</v>
      </c>
      <c r="P28" s="33">
        <v>26031.080999999998</v>
      </c>
      <c r="Q28" s="33">
        <v>261305</v>
      </c>
      <c r="R28" s="33">
        <v>25833.126</v>
      </c>
      <c r="S28" s="33">
        <v>291796</v>
      </c>
      <c r="T28" s="32">
        <f>N28+P28+R28</f>
        <v>78379.288</v>
      </c>
      <c r="U28" s="33">
        <f>O28+Q28+S28</f>
        <v>825018</v>
      </c>
      <c r="V28" s="33">
        <v>26652.582999999999</v>
      </c>
      <c r="W28" s="33">
        <v>304876</v>
      </c>
      <c r="X28" s="33"/>
      <c r="Y28" s="33"/>
      <c r="Z28" s="33"/>
      <c r="AA28" s="33"/>
      <c r="AB28" s="32">
        <f>V28+X28+Z28</f>
        <v>26652.582999999999</v>
      </c>
      <c r="AC28" s="44">
        <f>W28+Y28+AA28</f>
        <v>304876</v>
      </c>
      <c r="AD28" s="33"/>
      <c r="AE28" s="33"/>
      <c r="AF28" s="33"/>
      <c r="AG28" s="33"/>
      <c r="AH28" s="33"/>
      <c r="AI28" s="33"/>
      <c r="AJ28" s="32">
        <f>AD28+AF28+AH28</f>
        <v>0</v>
      </c>
      <c r="AK28" s="32">
        <f>AE28+AG28+AI28</f>
        <v>0</v>
      </c>
      <c r="AL28" s="32">
        <f>L28+T28+AB28+AJ28</f>
        <v>178580.69199999998</v>
      </c>
      <c r="AM28" s="32">
        <f>M28+U28+AC28+AK28</f>
        <v>1940550</v>
      </c>
      <c r="AN28" s="174"/>
      <c r="AO28" s="174"/>
      <c r="AP28" s="45"/>
      <c r="AQ28" s="32"/>
    </row>
    <row r="29" spans="1:48" s="30" customFormat="1" ht="12.75" customHeight="1">
      <c r="A29" s="194"/>
      <c r="B29" s="194"/>
      <c r="C29" s="34" t="s">
        <v>37</v>
      </c>
      <c r="D29" s="34"/>
      <c r="E29" s="38"/>
      <c r="F29" s="38">
        <f t="shared" ref="F29:AM29" si="12">SUM(F27:F28)</f>
        <v>28243.120999999999</v>
      </c>
      <c r="G29" s="38">
        <f t="shared" si="12"/>
        <v>287547</v>
      </c>
      <c r="H29" s="38">
        <f t="shared" si="12"/>
        <v>25419.606</v>
      </c>
      <c r="I29" s="38">
        <f t="shared" si="12"/>
        <v>345627</v>
      </c>
      <c r="J29" s="38">
        <f t="shared" si="12"/>
        <v>27996.671999999999</v>
      </c>
      <c r="K29" s="38">
        <f t="shared" si="12"/>
        <v>290080</v>
      </c>
      <c r="L29" s="38">
        <f>SUM(L27:L28)</f>
        <v>81659.39899999999</v>
      </c>
      <c r="M29" s="38">
        <f t="shared" si="12"/>
        <v>923254</v>
      </c>
      <c r="N29" s="38">
        <f t="shared" si="12"/>
        <v>29259.341</v>
      </c>
      <c r="O29" s="38">
        <f t="shared" si="12"/>
        <v>307578</v>
      </c>
      <c r="P29" s="38">
        <f t="shared" si="12"/>
        <v>28240.373</v>
      </c>
      <c r="Q29" s="38">
        <f t="shared" si="12"/>
        <v>291558</v>
      </c>
      <c r="R29" s="38">
        <f t="shared" si="12"/>
        <v>28236.694</v>
      </c>
      <c r="S29" s="38">
        <f t="shared" si="12"/>
        <v>325731</v>
      </c>
      <c r="T29" s="38">
        <f>SUM(T27:T28)</f>
        <v>85736.407999999996</v>
      </c>
      <c r="U29" s="38">
        <f t="shared" si="12"/>
        <v>924867</v>
      </c>
      <c r="V29" s="29">
        <f t="shared" si="12"/>
        <v>29272.791999999998</v>
      </c>
      <c r="W29" s="29">
        <f t="shared" si="12"/>
        <v>342135</v>
      </c>
      <c r="X29" s="38">
        <f t="shared" si="12"/>
        <v>0</v>
      </c>
      <c r="Y29" s="38">
        <f t="shared" si="12"/>
        <v>0</v>
      </c>
      <c r="Z29" s="38">
        <f t="shared" si="12"/>
        <v>0</v>
      </c>
      <c r="AA29" s="38">
        <f t="shared" si="12"/>
        <v>0</v>
      </c>
      <c r="AB29" s="38">
        <f t="shared" si="12"/>
        <v>29272.791999999998</v>
      </c>
      <c r="AC29" s="38">
        <f t="shared" si="12"/>
        <v>342135</v>
      </c>
      <c r="AD29" s="38">
        <f t="shared" si="12"/>
        <v>0</v>
      </c>
      <c r="AE29" s="38">
        <f t="shared" si="12"/>
        <v>0</v>
      </c>
      <c r="AF29" s="38">
        <f t="shared" si="12"/>
        <v>0</v>
      </c>
      <c r="AG29" s="38">
        <f t="shared" si="12"/>
        <v>0</v>
      </c>
      <c r="AH29" s="38">
        <f t="shared" si="12"/>
        <v>0</v>
      </c>
      <c r="AI29" s="38">
        <f t="shared" si="12"/>
        <v>0</v>
      </c>
      <c r="AJ29" s="38">
        <f t="shared" si="12"/>
        <v>0</v>
      </c>
      <c r="AK29" s="38">
        <f t="shared" si="12"/>
        <v>0</v>
      </c>
      <c r="AL29" s="46">
        <f t="shared" si="12"/>
        <v>196668.59899999999</v>
      </c>
      <c r="AM29" s="46">
        <f t="shared" si="12"/>
        <v>2190256</v>
      </c>
      <c r="AN29" s="27">
        <v>431790</v>
      </c>
      <c r="AO29" s="27">
        <f>AN29/12*$AO$8</f>
        <v>143930</v>
      </c>
      <c r="AP29" s="28">
        <f>AL29/AO29</f>
        <v>1.3664183908844576</v>
      </c>
      <c r="AQ29" s="29"/>
    </row>
    <row r="30" spans="1:48" s="35" customFormat="1" ht="18" customHeight="1">
      <c r="A30" s="145">
        <f>+A27+1</f>
        <v>7</v>
      </c>
      <c r="B30" s="145">
        <f>+B27+1</f>
        <v>8</v>
      </c>
      <c r="C30" s="145" t="s">
        <v>50</v>
      </c>
      <c r="D30" s="145" t="s">
        <v>51</v>
      </c>
      <c r="E30" s="39" t="s">
        <v>35</v>
      </c>
      <c r="F30" s="47">
        <v>890.072</v>
      </c>
      <c r="G30" s="217">
        <v>336440</v>
      </c>
      <c r="H30" s="40">
        <v>906.45799999999997</v>
      </c>
      <c r="I30" s="217">
        <v>407135</v>
      </c>
      <c r="J30" s="40">
        <v>842.11400000000003</v>
      </c>
      <c r="K30" s="217">
        <v>361178</v>
      </c>
      <c r="L30" s="40">
        <f>F30+H30+J30</f>
        <v>2638.6440000000002</v>
      </c>
      <c r="M30" s="217">
        <f>G30+I30+K30</f>
        <v>1104753</v>
      </c>
      <c r="N30" s="40">
        <v>875.80799999999999</v>
      </c>
      <c r="O30" s="183">
        <v>375376</v>
      </c>
      <c r="P30" s="40">
        <v>835.64599999999996</v>
      </c>
      <c r="Q30" s="183">
        <v>368437</v>
      </c>
      <c r="R30" s="40">
        <v>821.95</v>
      </c>
      <c r="S30" s="183">
        <v>391702</v>
      </c>
      <c r="T30" s="40">
        <f>N30+P30+R30</f>
        <v>2533.404</v>
      </c>
      <c r="U30" s="183">
        <f>O30+Q30+S30</f>
        <v>1135515</v>
      </c>
      <c r="V30" s="40">
        <v>872</v>
      </c>
      <c r="W30" s="183">
        <v>410574</v>
      </c>
      <c r="X30" s="40"/>
      <c r="Y30" s="183"/>
      <c r="Z30" s="40"/>
      <c r="AA30" s="183"/>
      <c r="AB30" s="40">
        <f>V30+X30+Z30</f>
        <v>872</v>
      </c>
      <c r="AC30" s="183">
        <f>W30+Y30+AA30</f>
        <v>410574</v>
      </c>
      <c r="AD30" s="40"/>
      <c r="AE30" s="183"/>
      <c r="AF30" s="22"/>
      <c r="AG30" s="183"/>
      <c r="AH30" s="40"/>
      <c r="AI30" s="183"/>
      <c r="AJ30" s="40">
        <f>AD30+AF30+AH30</f>
        <v>0</v>
      </c>
      <c r="AK30" s="183">
        <f>AE30+AG30+AI30</f>
        <v>0</v>
      </c>
      <c r="AL30" s="40">
        <f>L30+T30+AB30+AJ30</f>
        <v>6044.0480000000007</v>
      </c>
      <c r="AM30" s="183">
        <f>M30+U30+AC30+AK30</f>
        <v>2650842</v>
      </c>
      <c r="AN30" s="183"/>
      <c r="AO30" s="183"/>
      <c r="AP30" s="215"/>
      <c r="AQ30" s="48"/>
      <c r="AV30" s="4"/>
    </row>
    <row r="31" spans="1:48" s="35" customFormat="1" ht="19.5" customHeight="1">
      <c r="A31" s="145"/>
      <c r="B31" s="145"/>
      <c r="C31" s="145"/>
      <c r="D31" s="145"/>
      <c r="E31" s="39" t="s">
        <v>36</v>
      </c>
      <c r="F31" s="47">
        <v>13220.832</v>
      </c>
      <c r="G31" s="217"/>
      <c r="H31" s="40">
        <v>11064.477999999999</v>
      </c>
      <c r="I31" s="217"/>
      <c r="J31" s="40">
        <v>13162.608</v>
      </c>
      <c r="K31" s="217"/>
      <c r="L31" s="40">
        <f>F31+H31+J31</f>
        <v>37447.917999999998</v>
      </c>
      <c r="M31" s="217"/>
      <c r="N31" s="40">
        <v>14850.262000000001</v>
      </c>
      <c r="O31" s="213"/>
      <c r="P31" s="40">
        <v>14921.644</v>
      </c>
      <c r="Q31" s="213"/>
      <c r="R31" s="40">
        <v>14077.596</v>
      </c>
      <c r="S31" s="213"/>
      <c r="T31" s="40">
        <f>N31+P31+R31</f>
        <v>43849.502</v>
      </c>
      <c r="U31" s="213"/>
      <c r="V31" s="40">
        <v>14132</v>
      </c>
      <c r="W31" s="213"/>
      <c r="X31" s="40"/>
      <c r="Y31" s="213"/>
      <c r="Z31" s="40"/>
      <c r="AA31" s="213"/>
      <c r="AB31" s="40">
        <f>V31+X31+Z31</f>
        <v>14132</v>
      </c>
      <c r="AC31" s="213"/>
      <c r="AD31" s="40"/>
      <c r="AE31" s="213"/>
      <c r="AF31" s="22"/>
      <c r="AG31" s="213"/>
      <c r="AH31" s="40"/>
      <c r="AI31" s="213"/>
      <c r="AJ31" s="40">
        <f>AD31+AF31+AH31</f>
        <v>0</v>
      </c>
      <c r="AK31" s="213"/>
      <c r="AL31" s="40">
        <f>L31+T31+AB31+AJ31</f>
        <v>95429.42</v>
      </c>
      <c r="AM31" s="213"/>
      <c r="AN31" s="184"/>
      <c r="AO31" s="184"/>
      <c r="AP31" s="216"/>
      <c r="AQ31" s="49"/>
      <c r="AV31" s="4"/>
    </row>
    <row r="32" spans="1:48" s="36" customFormat="1" ht="17.25" customHeight="1">
      <c r="A32" s="146"/>
      <c r="B32" s="146"/>
      <c r="C32" s="50" t="s">
        <v>31</v>
      </c>
      <c r="D32" s="146"/>
      <c r="E32" s="50"/>
      <c r="F32" s="51">
        <f>SUM(F30:F31)</f>
        <v>14110.904</v>
      </c>
      <c r="G32" s="218"/>
      <c r="H32" s="51">
        <f>SUM(H30:H31)</f>
        <v>11970.936</v>
      </c>
      <c r="I32" s="218"/>
      <c r="J32" s="51">
        <f>SUM(J30:J31)</f>
        <v>14004.722</v>
      </c>
      <c r="K32" s="218"/>
      <c r="L32" s="51">
        <f>SUM(L30:L31)</f>
        <v>40086.561999999998</v>
      </c>
      <c r="M32" s="218"/>
      <c r="N32" s="51">
        <f>SUM(N30:N31)</f>
        <v>15726.07</v>
      </c>
      <c r="O32" s="214"/>
      <c r="P32" s="51">
        <f>SUM(P30:P31)</f>
        <v>15757.29</v>
      </c>
      <c r="Q32" s="214"/>
      <c r="R32" s="51">
        <f>SUM(R30:R31)</f>
        <v>14899.546</v>
      </c>
      <c r="S32" s="214"/>
      <c r="T32" s="51">
        <f>SUM(T30:T31)</f>
        <v>46382.906000000003</v>
      </c>
      <c r="U32" s="214"/>
      <c r="V32" s="51">
        <f>SUM(V30:V31)</f>
        <v>15004</v>
      </c>
      <c r="W32" s="214"/>
      <c r="X32" s="51">
        <f>SUM(X30:X31)</f>
        <v>0</v>
      </c>
      <c r="Y32" s="214"/>
      <c r="Z32" s="51">
        <f>SUM(Z30:Z31)</f>
        <v>0</v>
      </c>
      <c r="AA32" s="214"/>
      <c r="AB32" s="51">
        <f>SUM(AB30:AB31)</f>
        <v>15004</v>
      </c>
      <c r="AC32" s="214"/>
      <c r="AD32" s="51">
        <f>SUM(AD30:AD31)</f>
        <v>0</v>
      </c>
      <c r="AE32" s="214"/>
      <c r="AF32" s="51">
        <f>SUM(AF30:AF31)</f>
        <v>0</v>
      </c>
      <c r="AG32" s="214"/>
      <c r="AH32" s="51">
        <f>SUM(AH30:AH31)</f>
        <v>0</v>
      </c>
      <c r="AI32" s="214"/>
      <c r="AJ32" s="51">
        <f>SUM(AJ30:AJ31)</f>
        <v>0</v>
      </c>
      <c r="AK32" s="214"/>
      <c r="AL32" s="51">
        <f>SUM(AL30:AL31)</f>
        <v>101473.46799999999</v>
      </c>
      <c r="AM32" s="214"/>
      <c r="AN32" s="27">
        <v>122990</v>
      </c>
      <c r="AO32" s="27">
        <f>AN32/12*$AO$8</f>
        <v>40996.666666666664</v>
      </c>
      <c r="AP32" s="28">
        <f>AL32/AO32</f>
        <v>2.4751638669810552</v>
      </c>
      <c r="AQ32" s="53"/>
      <c r="AV32" s="30"/>
    </row>
    <row r="33" spans="1:49" s="57" customFormat="1" ht="25.5" customHeight="1">
      <c r="A33" s="134">
        <f>+A30+1</f>
        <v>8</v>
      </c>
      <c r="B33" s="145"/>
      <c r="C33" s="134" t="s">
        <v>52</v>
      </c>
      <c r="D33" s="145"/>
      <c r="E33" s="55" t="s">
        <v>35</v>
      </c>
      <c r="F33" s="47">
        <v>647.70600000000002</v>
      </c>
      <c r="G33" s="217"/>
      <c r="H33" s="40">
        <v>760.577</v>
      </c>
      <c r="I33" s="217"/>
      <c r="J33" s="47">
        <v>618.58900000000006</v>
      </c>
      <c r="K33" s="217"/>
      <c r="L33" s="47">
        <f>F33+H33+J33</f>
        <v>2026.8719999999998</v>
      </c>
      <c r="M33" s="217"/>
      <c r="N33" s="44">
        <v>640.26400000000001</v>
      </c>
      <c r="O33" s="213"/>
      <c r="P33" s="44">
        <v>600.94200000000001</v>
      </c>
      <c r="Q33" s="213"/>
      <c r="R33" s="40">
        <v>623.73599999999999</v>
      </c>
      <c r="S33" s="213"/>
      <c r="T33" s="56">
        <f>N33+P33+R33</f>
        <v>1864.942</v>
      </c>
      <c r="U33" s="213"/>
      <c r="V33" s="56">
        <v>664</v>
      </c>
      <c r="W33" s="213"/>
      <c r="X33" s="47"/>
      <c r="Y33" s="213"/>
      <c r="Z33" s="47"/>
      <c r="AA33" s="213"/>
      <c r="AB33" s="47">
        <f>V33+X33+Z33</f>
        <v>664</v>
      </c>
      <c r="AC33" s="213"/>
      <c r="AD33" s="47"/>
      <c r="AE33" s="213"/>
      <c r="AF33" s="56"/>
      <c r="AG33" s="213"/>
      <c r="AH33" s="47"/>
      <c r="AI33" s="213"/>
      <c r="AJ33" s="47">
        <f>AD33+AF33+AH33</f>
        <v>0</v>
      </c>
      <c r="AK33" s="213"/>
      <c r="AL33" s="47">
        <f>L33+T33+AB33+AJ33</f>
        <v>4555.8140000000003</v>
      </c>
      <c r="AM33" s="213"/>
      <c r="AN33" s="195"/>
      <c r="AO33" s="195"/>
      <c r="AP33" s="199"/>
      <c r="AQ33" s="212"/>
      <c r="AV33" s="4"/>
    </row>
    <row r="34" spans="1:49" s="58" customFormat="1" ht="23.1" customHeight="1">
      <c r="A34" s="134"/>
      <c r="B34" s="145"/>
      <c r="C34" s="134"/>
      <c r="D34" s="145"/>
      <c r="E34" s="55" t="s">
        <v>36</v>
      </c>
      <c r="F34" s="47">
        <v>6928.7330000000002</v>
      </c>
      <c r="G34" s="217"/>
      <c r="H34" s="40">
        <v>6778.9260000000004</v>
      </c>
      <c r="I34" s="217"/>
      <c r="J34" s="56">
        <v>6887.1930000000002</v>
      </c>
      <c r="K34" s="217"/>
      <c r="L34" s="47">
        <f>F34+H34+J34</f>
        <v>20594.851999999999</v>
      </c>
      <c r="M34" s="217"/>
      <c r="N34" s="44">
        <v>7246.0690000000004</v>
      </c>
      <c r="O34" s="184"/>
      <c r="P34" s="44">
        <v>7158.82</v>
      </c>
      <c r="Q34" s="184"/>
      <c r="R34" s="40">
        <v>7424.0730000000003</v>
      </c>
      <c r="S34" s="184"/>
      <c r="T34" s="56">
        <f>N34+P34+R34</f>
        <v>21828.962</v>
      </c>
      <c r="U34" s="184"/>
      <c r="V34" s="56">
        <v>7727.94</v>
      </c>
      <c r="W34" s="184"/>
      <c r="X34" s="47"/>
      <c r="Y34" s="184"/>
      <c r="Z34" s="47"/>
      <c r="AA34" s="184"/>
      <c r="AB34" s="47">
        <f>V34+X34+Z34</f>
        <v>7727.94</v>
      </c>
      <c r="AC34" s="184"/>
      <c r="AD34" s="47"/>
      <c r="AE34" s="184"/>
      <c r="AF34" s="56"/>
      <c r="AG34" s="184"/>
      <c r="AH34" s="47"/>
      <c r="AI34" s="184"/>
      <c r="AJ34" s="47">
        <f>AD34+AF34+AH34</f>
        <v>0</v>
      </c>
      <c r="AK34" s="184"/>
      <c r="AL34" s="47">
        <f>L34+T34+AB34+AJ34</f>
        <v>50151.754000000001</v>
      </c>
      <c r="AM34" s="184"/>
      <c r="AN34" s="196"/>
      <c r="AO34" s="196"/>
      <c r="AP34" s="200"/>
      <c r="AQ34" s="198"/>
      <c r="AV34" s="14"/>
    </row>
    <row r="35" spans="1:49" s="63" customFormat="1" ht="15" customHeight="1">
      <c r="A35" s="135"/>
      <c r="B35" s="146"/>
      <c r="C35" s="59" t="s">
        <v>31</v>
      </c>
      <c r="D35" s="59"/>
      <c r="E35" s="60"/>
      <c r="F35" s="61">
        <f>SUM(F33:F34)</f>
        <v>7576.4390000000003</v>
      </c>
      <c r="G35" s="60">
        <f>SUM(G30:G34)</f>
        <v>336440</v>
      </c>
      <c r="H35" s="61">
        <f>SUM(H33:H34)</f>
        <v>7539.5030000000006</v>
      </c>
      <c r="I35" s="60">
        <f>SUM(I30:I34)</f>
        <v>407135</v>
      </c>
      <c r="J35" s="61">
        <f>SUM(J33:J34)</f>
        <v>7505.7820000000002</v>
      </c>
      <c r="K35" s="60">
        <f>SUM(K30:K34)</f>
        <v>361178</v>
      </c>
      <c r="L35" s="61">
        <f>SUM(L33:L34)</f>
        <v>22621.723999999998</v>
      </c>
      <c r="M35" s="60">
        <f>SUM(M30:M34)</f>
        <v>1104753</v>
      </c>
      <c r="N35" s="61">
        <f>SUM(N33:N34)</f>
        <v>7886.3330000000005</v>
      </c>
      <c r="O35" s="61">
        <f>O30</f>
        <v>375376</v>
      </c>
      <c r="P35" s="61">
        <f>SUM(P33:P34)</f>
        <v>7759.7619999999997</v>
      </c>
      <c r="Q35" s="60">
        <f>Q30</f>
        <v>368437</v>
      </c>
      <c r="R35" s="61">
        <f>SUM(R33:R34)</f>
        <v>8047.8090000000002</v>
      </c>
      <c r="S35" s="60">
        <f>S30</f>
        <v>391702</v>
      </c>
      <c r="T35" s="61">
        <f>SUM(T33:T34)</f>
        <v>23693.903999999999</v>
      </c>
      <c r="U35" s="61">
        <f>U30</f>
        <v>1135515</v>
      </c>
      <c r="V35" s="61">
        <f>SUM(V33:V34)</f>
        <v>8391.9399999999987</v>
      </c>
      <c r="W35" s="62">
        <f>SUM(W30:W33)</f>
        <v>410574</v>
      </c>
      <c r="X35" s="61">
        <f>SUM(X33:X34)</f>
        <v>0</v>
      </c>
      <c r="Y35" s="62">
        <f>SUM(Y30:Y33)</f>
        <v>0</v>
      </c>
      <c r="Z35" s="61">
        <f>SUM(Z33:Z34)</f>
        <v>0</v>
      </c>
      <c r="AA35" s="62">
        <f>SUM(AA30:AA33)</f>
        <v>0</v>
      </c>
      <c r="AB35" s="61">
        <f>SUM(AB33:AB34)</f>
        <v>8391.9399999999987</v>
      </c>
      <c r="AC35" s="62">
        <f>AC30</f>
        <v>410574</v>
      </c>
      <c r="AD35" s="61">
        <f>SUM(AD33:AD34)</f>
        <v>0</v>
      </c>
      <c r="AE35" s="62">
        <f>AE30</f>
        <v>0</v>
      </c>
      <c r="AF35" s="61">
        <f>SUM(AF33:AF34)</f>
        <v>0</v>
      </c>
      <c r="AG35" s="62">
        <f>AG30</f>
        <v>0</v>
      </c>
      <c r="AH35" s="61">
        <f>SUM(AH33:AH34)</f>
        <v>0</v>
      </c>
      <c r="AI35" s="62">
        <f>AI30</f>
        <v>0</v>
      </c>
      <c r="AJ35" s="61">
        <f>SUM(AJ33:AJ34)</f>
        <v>0</v>
      </c>
      <c r="AK35" s="62">
        <f>AK30</f>
        <v>0</v>
      </c>
      <c r="AL35" s="61">
        <f>SUM(AL33:AL34)</f>
        <v>54707.567999999999</v>
      </c>
      <c r="AM35" s="62">
        <f>AM30</f>
        <v>2650842</v>
      </c>
      <c r="AN35" s="27">
        <v>270300</v>
      </c>
      <c r="AO35" s="27">
        <f>AN35/12*$AO$8</f>
        <v>90100</v>
      </c>
      <c r="AP35" s="28">
        <f>AL35/AO35</f>
        <v>0.60718721420643729</v>
      </c>
      <c r="AQ35" s="60"/>
      <c r="AV35" s="30"/>
    </row>
    <row r="36" spans="1:49" s="35" customFormat="1" ht="15" customHeight="1">
      <c r="A36" s="145">
        <f>+A33+1</f>
        <v>9</v>
      </c>
      <c r="B36" s="151">
        <f>+B30+1</f>
        <v>9</v>
      </c>
      <c r="C36" s="145" t="s">
        <v>53</v>
      </c>
      <c r="D36" s="151" t="s">
        <v>54</v>
      </c>
      <c r="E36" s="39" t="s">
        <v>35</v>
      </c>
      <c r="F36" s="40">
        <v>1094.96</v>
      </c>
      <c r="G36" s="210">
        <v>298098</v>
      </c>
      <c r="H36" s="40">
        <v>1245.201143</v>
      </c>
      <c r="I36" s="210">
        <v>317868</v>
      </c>
      <c r="J36" s="40">
        <v>1145.854286</v>
      </c>
      <c r="K36" s="210">
        <v>299087</v>
      </c>
      <c r="L36" s="40">
        <f>F36+H36+J36</f>
        <v>3486.015429</v>
      </c>
      <c r="M36" s="210">
        <f>G36+I36+K36</f>
        <v>915053</v>
      </c>
      <c r="N36" s="40">
        <v>1552.981</v>
      </c>
      <c r="O36" s="195">
        <v>343795</v>
      </c>
      <c r="P36" s="40">
        <v>1411.5234290000001</v>
      </c>
      <c r="Q36" s="195">
        <v>337616</v>
      </c>
      <c r="R36" s="40">
        <v>12901.480571</v>
      </c>
      <c r="S36" s="210">
        <v>351778</v>
      </c>
      <c r="T36" s="40">
        <f>N36+P36+R36</f>
        <v>15865.985000000001</v>
      </c>
      <c r="U36" s="210">
        <f>O36+Q36+S36</f>
        <v>1033189</v>
      </c>
      <c r="V36" s="40">
        <v>1296.8040000000001</v>
      </c>
      <c r="W36" s="210">
        <v>373124</v>
      </c>
      <c r="X36" s="40"/>
      <c r="Y36" s="210"/>
      <c r="Z36" s="40"/>
      <c r="AA36" s="210"/>
      <c r="AB36" s="40">
        <f>V36+X36+Z36</f>
        <v>1296.8040000000001</v>
      </c>
      <c r="AC36" s="195">
        <f>W36+Y36+AA36</f>
        <v>373124</v>
      </c>
      <c r="AD36" s="40"/>
      <c r="AE36" s="210"/>
      <c r="AF36" s="40"/>
      <c r="AG36" s="210"/>
      <c r="AH36" s="40"/>
      <c r="AI36" s="210"/>
      <c r="AJ36" s="40">
        <f>AD36+AF36+AH36</f>
        <v>0</v>
      </c>
      <c r="AK36" s="210">
        <f>AE36+AG36+AI36</f>
        <v>0</v>
      </c>
      <c r="AL36" s="48">
        <f>L36+T36+AB36+AJ36</f>
        <v>20648.804429</v>
      </c>
      <c r="AM36" s="195">
        <f>M36+U36+AC36+AK36</f>
        <v>2321366</v>
      </c>
      <c r="AN36" s="183"/>
      <c r="AO36" s="183"/>
      <c r="AP36" s="202"/>
      <c r="AQ36" s="201" t="s">
        <v>55</v>
      </c>
      <c r="AV36" s="4"/>
    </row>
    <row r="37" spans="1:49" s="35" customFormat="1">
      <c r="A37" s="145"/>
      <c r="B37" s="151"/>
      <c r="C37" s="145"/>
      <c r="D37" s="151"/>
      <c r="E37" s="39" t="s">
        <v>36</v>
      </c>
      <c r="F37" s="40">
        <v>8308.3668570000009</v>
      </c>
      <c r="G37" s="210"/>
      <c r="H37" s="40">
        <v>7510.2611429999997</v>
      </c>
      <c r="I37" s="210"/>
      <c r="J37" s="40">
        <v>9073.3085709999996</v>
      </c>
      <c r="K37" s="210"/>
      <c r="L37" s="40">
        <f>F37+H37+J37</f>
        <v>24891.936570999998</v>
      </c>
      <c r="M37" s="210"/>
      <c r="N37" s="40">
        <v>13143.052</v>
      </c>
      <c r="O37" s="208"/>
      <c r="P37" s="40">
        <v>13628.44</v>
      </c>
      <c r="Q37" s="208"/>
      <c r="R37" s="40">
        <v>1403.3325709999999</v>
      </c>
      <c r="S37" s="210"/>
      <c r="T37" s="40">
        <f>N37+P37+R37</f>
        <v>28174.824570999997</v>
      </c>
      <c r="U37" s="210"/>
      <c r="V37" s="40">
        <v>13238.003429</v>
      </c>
      <c r="W37" s="210"/>
      <c r="X37" s="40"/>
      <c r="Y37" s="210"/>
      <c r="Z37" s="40"/>
      <c r="AA37" s="210"/>
      <c r="AB37" s="40">
        <f>V37+X37+Z37</f>
        <v>13238.003429</v>
      </c>
      <c r="AC37" s="208"/>
      <c r="AD37" s="40"/>
      <c r="AE37" s="210"/>
      <c r="AF37" s="40"/>
      <c r="AG37" s="210"/>
      <c r="AH37" s="40"/>
      <c r="AI37" s="210"/>
      <c r="AJ37" s="40">
        <f>AD37+AF37+AH37</f>
        <v>0</v>
      </c>
      <c r="AK37" s="210"/>
      <c r="AL37" s="48">
        <f>L37+T37+AB37+AJ37</f>
        <v>66304.764570999992</v>
      </c>
      <c r="AM37" s="208"/>
      <c r="AN37" s="184"/>
      <c r="AO37" s="184"/>
      <c r="AP37" s="203"/>
      <c r="AQ37" s="201"/>
      <c r="AV37" s="4"/>
    </row>
    <row r="38" spans="1:49" s="65" customFormat="1">
      <c r="A38" s="146"/>
      <c r="B38" s="194"/>
      <c r="C38" s="50" t="s">
        <v>31</v>
      </c>
      <c r="D38" s="194"/>
      <c r="E38" s="64"/>
      <c r="F38" s="51">
        <f>SUM(F36:F37)</f>
        <v>9403.326857</v>
      </c>
      <c r="G38" s="211"/>
      <c r="H38" s="51">
        <f>SUM(H36:H37)</f>
        <v>8755.4622859999999</v>
      </c>
      <c r="I38" s="211"/>
      <c r="J38" s="51">
        <f>SUM(J36:J37)</f>
        <v>10219.162856999999</v>
      </c>
      <c r="K38" s="211"/>
      <c r="L38" s="51">
        <f>SUM(L36:L37)</f>
        <v>28377.951999999997</v>
      </c>
      <c r="M38" s="211"/>
      <c r="N38" s="51">
        <f>SUM(N36:N37)</f>
        <v>14696.032999999999</v>
      </c>
      <c r="O38" s="209"/>
      <c r="P38" s="51">
        <f>SUM(P36:P37)</f>
        <v>15039.963429000001</v>
      </c>
      <c r="Q38" s="209"/>
      <c r="R38" s="51">
        <f>SUM(R36:R37)</f>
        <v>14304.813141999999</v>
      </c>
      <c r="S38" s="211"/>
      <c r="T38" s="51">
        <f>SUM(T36:T37)</f>
        <v>44040.809570999998</v>
      </c>
      <c r="U38" s="211"/>
      <c r="V38" s="51">
        <f>SUM(V36:V37)</f>
        <v>14534.807429</v>
      </c>
      <c r="W38" s="211"/>
      <c r="X38" s="51">
        <f>SUM(X36:X37)</f>
        <v>0</v>
      </c>
      <c r="Y38" s="211"/>
      <c r="Z38" s="51">
        <f>SUM(Z36:Z37)</f>
        <v>0</v>
      </c>
      <c r="AA38" s="211"/>
      <c r="AB38" s="51">
        <f>SUM(AB36:AB37)</f>
        <v>14534.807429</v>
      </c>
      <c r="AC38" s="209"/>
      <c r="AD38" s="51">
        <f>SUM(AD36:AD37)</f>
        <v>0</v>
      </c>
      <c r="AE38" s="211"/>
      <c r="AF38" s="51">
        <f>SUM(AF36:AF37)</f>
        <v>0</v>
      </c>
      <c r="AG38" s="211"/>
      <c r="AH38" s="51">
        <f>SUM(AH36:AH37)</f>
        <v>0</v>
      </c>
      <c r="AI38" s="211"/>
      <c r="AJ38" s="51">
        <f>SUM(AJ36:AJ37)</f>
        <v>0</v>
      </c>
      <c r="AK38" s="211"/>
      <c r="AL38" s="51">
        <f>SUM(AL36:AL37)</f>
        <v>86953.568999999989</v>
      </c>
      <c r="AM38" s="209"/>
      <c r="AN38" s="27">
        <v>250870</v>
      </c>
      <c r="AO38" s="27">
        <f>AN38/12*$AO$8</f>
        <v>83623.333333333328</v>
      </c>
      <c r="AP38" s="28">
        <f>AL38/AO38</f>
        <v>1.0398242396460318</v>
      </c>
      <c r="AQ38" s="204"/>
      <c r="AV38" s="66"/>
    </row>
    <row r="39" spans="1:49">
      <c r="A39" s="151">
        <f>+A36+1</f>
        <v>10</v>
      </c>
      <c r="B39" s="151"/>
      <c r="C39" s="205" t="s">
        <v>56</v>
      </c>
      <c r="D39" s="151"/>
      <c r="E39" s="37" t="s">
        <v>35</v>
      </c>
      <c r="F39" s="44">
        <v>821.22</v>
      </c>
      <c r="G39" s="210"/>
      <c r="H39" s="44">
        <v>933.90085699999997</v>
      </c>
      <c r="I39" s="210"/>
      <c r="J39" s="44">
        <v>859.93071399999997</v>
      </c>
      <c r="K39" s="210"/>
      <c r="L39" s="44">
        <f>F39+H39+J39</f>
        <v>2615.051571</v>
      </c>
      <c r="M39" s="210"/>
      <c r="N39" s="44">
        <v>1164.7349999999999</v>
      </c>
      <c r="O39" s="208"/>
      <c r="P39" s="40">
        <v>1058.6425710000001</v>
      </c>
      <c r="Q39" s="208"/>
      <c r="R39" s="44">
        <v>9676.1104290000003</v>
      </c>
      <c r="S39" s="210"/>
      <c r="T39" s="44">
        <f>N39+P39+R39</f>
        <v>11899.488000000001</v>
      </c>
      <c r="U39" s="210"/>
      <c r="V39" s="44">
        <v>972.60299999999995</v>
      </c>
      <c r="W39" s="210"/>
      <c r="X39" s="44"/>
      <c r="Y39" s="210"/>
      <c r="Z39" s="44"/>
      <c r="AA39" s="210"/>
      <c r="AB39" s="44">
        <f>V39+X39+Z39</f>
        <v>972.60299999999995</v>
      </c>
      <c r="AC39" s="208"/>
      <c r="AD39" s="44"/>
      <c r="AE39" s="210"/>
      <c r="AF39" s="44"/>
      <c r="AG39" s="210"/>
      <c r="AH39" s="44"/>
      <c r="AI39" s="210"/>
      <c r="AJ39" s="44">
        <f>AD39+AF39+AH39</f>
        <v>0</v>
      </c>
      <c r="AK39" s="210"/>
      <c r="AL39" s="67">
        <f>L39+T39+AB39+AJ39</f>
        <v>15487.142571</v>
      </c>
      <c r="AM39" s="208"/>
      <c r="AN39" s="195"/>
      <c r="AO39" s="183"/>
      <c r="AP39" s="206"/>
      <c r="AQ39" s="201" t="s">
        <v>57</v>
      </c>
    </row>
    <row r="40" spans="1:49">
      <c r="A40" s="151"/>
      <c r="B40" s="151"/>
      <c r="C40" s="205"/>
      <c r="D40" s="151"/>
      <c r="E40" s="37" t="s">
        <v>36</v>
      </c>
      <c r="F40" s="44">
        <v>6231.2751429999998</v>
      </c>
      <c r="G40" s="210"/>
      <c r="H40" s="44">
        <v>5632.6958569999997</v>
      </c>
      <c r="I40" s="210"/>
      <c r="J40" s="44">
        <v>6804.9814290000004</v>
      </c>
      <c r="K40" s="210"/>
      <c r="L40" s="44">
        <f>F40+H40+J40</f>
        <v>18668.952429000001</v>
      </c>
      <c r="M40" s="210"/>
      <c r="N40" s="44">
        <v>9857.2890000000007</v>
      </c>
      <c r="O40" s="196"/>
      <c r="P40" s="40">
        <v>10221.33</v>
      </c>
      <c r="Q40" s="196"/>
      <c r="R40" s="44">
        <v>1052.499429</v>
      </c>
      <c r="S40" s="210"/>
      <c r="T40" s="44">
        <f>N40+P40+R40</f>
        <v>21131.118428999998</v>
      </c>
      <c r="U40" s="210"/>
      <c r="V40" s="44">
        <v>9928.5025710000009</v>
      </c>
      <c r="W40" s="210"/>
      <c r="X40" s="44"/>
      <c r="Y40" s="210"/>
      <c r="Z40" s="44"/>
      <c r="AA40" s="210"/>
      <c r="AB40" s="44">
        <f>V40+X40+Z40</f>
        <v>9928.5025710000009</v>
      </c>
      <c r="AC40" s="196"/>
      <c r="AD40" s="44"/>
      <c r="AE40" s="210"/>
      <c r="AF40" s="44"/>
      <c r="AG40" s="210"/>
      <c r="AH40" s="44"/>
      <c r="AI40" s="210"/>
      <c r="AJ40" s="44">
        <f>AD40+AF40+AH40</f>
        <v>0</v>
      </c>
      <c r="AK40" s="210"/>
      <c r="AL40" s="67">
        <f>L40+T40+AB40+AJ40</f>
        <v>49728.573428999996</v>
      </c>
      <c r="AM40" s="196"/>
      <c r="AN40" s="196"/>
      <c r="AO40" s="184"/>
      <c r="AP40" s="207"/>
      <c r="AQ40" s="201"/>
    </row>
    <row r="41" spans="1:49" s="30" customFormat="1">
      <c r="A41" s="68"/>
      <c r="B41" s="194"/>
      <c r="C41" s="69" t="s">
        <v>31</v>
      </c>
      <c r="D41" s="34"/>
      <c r="E41" s="38"/>
      <c r="F41" s="70">
        <f>SUM(F39:F40)</f>
        <v>7052.4951430000001</v>
      </c>
      <c r="G41" s="38">
        <f>SUM(G36:G40)</f>
        <v>298098</v>
      </c>
      <c r="H41" s="70">
        <f>SUM(H39:H40)</f>
        <v>6566.5967139999993</v>
      </c>
      <c r="I41" s="38">
        <f>SUM(I36:I40)</f>
        <v>317868</v>
      </c>
      <c r="J41" s="70">
        <f>SUM(J39:J40)</f>
        <v>7664.9121430000005</v>
      </c>
      <c r="K41" s="38">
        <f>SUM(K36:K40)</f>
        <v>299087</v>
      </c>
      <c r="L41" s="70">
        <f>SUM(L39:L40)</f>
        <v>21284.004000000001</v>
      </c>
      <c r="M41" s="38">
        <f>SUM(M36:M40)</f>
        <v>915053</v>
      </c>
      <c r="N41" s="70">
        <f>SUM(N39:N40)</f>
        <v>11022.024000000001</v>
      </c>
      <c r="O41" s="38">
        <f>SUM(O36:O40)</f>
        <v>343795</v>
      </c>
      <c r="P41" s="70">
        <f>SUM(P39:P40)</f>
        <v>11279.972571</v>
      </c>
      <c r="Q41" s="38">
        <f>SUM(Q36:Q40)</f>
        <v>337616</v>
      </c>
      <c r="R41" s="70">
        <f>SUM(R39:R40)</f>
        <v>10728.609858</v>
      </c>
      <c r="S41" s="38">
        <f>SUM(S36:S40)</f>
        <v>351778</v>
      </c>
      <c r="T41" s="70">
        <f>SUM(T39:T40)</f>
        <v>33030.606428999999</v>
      </c>
      <c r="U41" s="38">
        <f>SUM(U36:U40)</f>
        <v>1033189</v>
      </c>
      <c r="V41" s="70">
        <f>SUM(V39:V40)</f>
        <v>10901.105571</v>
      </c>
      <c r="W41" s="38">
        <f>SUM(W36:W40)</f>
        <v>373124</v>
      </c>
      <c r="X41" s="70">
        <f>SUM(X39:X40)</f>
        <v>0</v>
      </c>
      <c r="Y41" s="38">
        <f>SUM(Y36:Y40)</f>
        <v>0</v>
      </c>
      <c r="Z41" s="70">
        <f>SUM(Z39:Z40)</f>
        <v>0</v>
      </c>
      <c r="AA41" s="38">
        <f>SUM(AA36:AA40)</f>
        <v>0</v>
      </c>
      <c r="AB41" s="38">
        <f>AB39+AB40</f>
        <v>10901.105571</v>
      </c>
      <c r="AC41" s="38">
        <f>SUM(AC36:AC40)</f>
        <v>373124</v>
      </c>
      <c r="AD41" s="70">
        <f>SUM(AD39:AD40)</f>
        <v>0</v>
      </c>
      <c r="AE41" s="38">
        <f>SUM(AE36:AE40)</f>
        <v>0</v>
      </c>
      <c r="AF41" s="70">
        <f>SUM(AF39:AF40)</f>
        <v>0</v>
      </c>
      <c r="AG41" s="38">
        <f>SUM(AG36:AG40)</f>
        <v>0</v>
      </c>
      <c r="AH41" s="70">
        <f>SUM(AH39:AH40)</f>
        <v>0</v>
      </c>
      <c r="AI41" s="38">
        <f>SUM(AI36:AI40)</f>
        <v>0</v>
      </c>
      <c r="AJ41" s="38">
        <f>AJ39+AJ40</f>
        <v>0</v>
      </c>
      <c r="AK41" s="38">
        <f>SUM(AK36:AK40)</f>
        <v>0</v>
      </c>
      <c r="AL41" s="38">
        <f>AL39+AL40</f>
        <v>65215.716</v>
      </c>
      <c r="AM41" s="38">
        <f>SUM(AM36:AM40)</f>
        <v>2321366</v>
      </c>
      <c r="AN41" s="27">
        <v>188150</v>
      </c>
      <c r="AO41" s="27">
        <f>AN41/12*$AO$8</f>
        <v>62716.666666666664</v>
      </c>
      <c r="AP41" s="28">
        <f>AL41/AO41</f>
        <v>1.0398466542652141</v>
      </c>
      <c r="AQ41" s="38"/>
    </row>
    <row r="42" spans="1:49" s="35" customFormat="1" ht="42.75" customHeight="1">
      <c r="A42" s="145">
        <f>A39+1</f>
        <v>11</v>
      </c>
      <c r="B42" s="145">
        <v>10</v>
      </c>
      <c r="C42" s="145" t="s">
        <v>58</v>
      </c>
      <c r="D42" s="145" t="s">
        <v>59</v>
      </c>
      <c r="E42" s="39" t="s">
        <v>35</v>
      </c>
      <c r="F42" s="22">
        <v>5384.5140000000001</v>
      </c>
      <c r="G42" s="183">
        <f>232533+18306</f>
        <v>250839</v>
      </c>
      <c r="H42" s="22">
        <v>6533.8879999999999</v>
      </c>
      <c r="I42" s="183">
        <f>259573+22984</f>
        <v>282557</v>
      </c>
      <c r="J42" s="22">
        <v>5850.5110000000004</v>
      </c>
      <c r="K42" s="183">
        <f>259714+18511</f>
        <v>278225</v>
      </c>
      <c r="L42" s="21">
        <f>F42+H42+J42</f>
        <v>17768.913</v>
      </c>
      <c r="M42" s="149">
        <f>G42+I42+K42</f>
        <v>811621</v>
      </c>
      <c r="N42" s="22">
        <v>5969.07</v>
      </c>
      <c r="O42" s="22">
        <f>1210+1240+1240+1232+1457+1614+1593+1189+1124+1225+1251+1389+1483+1525+1246+1248+1242+1418+1325+1548+1431+1160+1074+1200+1202+1504+2008+2438+2492+2466+66+67+91+78+72+87+81+71+61+63+65+79+96+76+76+56+85+64+86+85+76+68+68+78+63+108+121+110+126+99</f>
        <v>46196</v>
      </c>
      <c r="P42" s="22">
        <v>5414.7370000000001</v>
      </c>
      <c r="Q42" s="22">
        <v>243951</v>
      </c>
      <c r="R42" s="22">
        <v>6235.4409999999998</v>
      </c>
      <c r="S42" s="40">
        <v>48060</v>
      </c>
      <c r="T42" s="21">
        <f>N42+P42+R42</f>
        <v>17619.248</v>
      </c>
      <c r="U42" s="22">
        <f>O42+Q42+S42</f>
        <v>338207</v>
      </c>
      <c r="V42" s="22">
        <v>6680.0870000000004</v>
      </c>
      <c r="W42" s="22">
        <v>48672</v>
      </c>
      <c r="X42" s="22"/>
      <c r="Y42" s="22"/>
      <c r="Z42" s="22"/>
      <c r="AA42" s="22"/>
      <c r="AB42" s="21">
        <f>V42+X42+Z42</f>
        <v>6680.0870000000004</v>
      </c>
      <c r="AC42" s="41">
        <f>W42+Y42+AA42</f>
        <v>48672</v>
      </c>
      <c r="AD42" s="22"/>
      <c r="AE42" s="22"/>
      <c r="AF42" s="22"/>
      <c r="AG42" s="22"/>
      <c r="AH42" s="22"/>
      <c r="AI42" s="22"/>
      <c r="AJ42" s="21">
        <f>AD42+AF42+AH42</f>
        <v>0</v>
      </c>
      <c r="AK42" s="21">
        <f>AE42+AG42+AI42</f>
        <v>0</v>
      </c>
      <c r="AL42" s="21">
        <f>L42+T42+AB42+AJ42</f>
        <v>42068.248</v>
      </c>
      <c r="AM42" s="149">
        <f>M42+U42+AC42+AK42</f>
        <v>1198500</v>
      </c>
      <c r="AN42" s="149"/>
      <c r="AO42" s="132"/>
      <c r="AP42" s="130"/>
      <c r="AQ42" s="132"/>
      <c r="AV42" s="4"/>
      <c r="AW42" s="193"/>
    </row>
    <row r="43" spans="1:49" s="35" customFormat="1" ht="42.75" customHeight="1">
      <c r="A43" s="145"/>
      <c r="B43" s="145"/>
      <c r="C43" s="145"/>
      <c r="D43" s="145"/>
      <c r="E43" s="39" t="s">
        <v>36</v>
      </c>
      <c r="F43" s="22">
        <v>33919.588000000003</v>
      </c>
      <c r="G43" s="184"/>
      <c r="H43" s="22">
        <v>31358.873</v>
      </c>
      <c r="I43" s="184"/>
      <c r="J43" s="22">
        <v>36858.317000000003</v>
      </c>
      <c r="K43" s="184"/>
      <c r="L43" s="21">
        <f>F43+H43+J43</f>
        <v>102136.77800000001</v>
      </c>
      <c r="M43" s="150"/>
      <c r="N43" s="22">
        <v>40637.894</v>
      </c>
      <c r="O43" s="22">
        <f>6546+6940+7142+7835+7915+8197+7725+6676+7027+7577+7480+7679+7779+7947+6823+7354+7744+7783+7383+8140+7928+6887+7069+7407+7630+8437+9905+9734+8929+8722+505+523+510+504+510+556+590+479+483+520+481+532+565+593+544+504+552+543+529+558+595+465+426+454+478+605+706+666+647+645</f>
        <v>248608</v>
      </c>
      <c r="P43" s="22">
        <v>40405.625999999997</v>
      </c>
      <c r="Q43" s="22">
        <v>40948</v>
      </c>
      <c r="R43" s="22">
        <v>41104.832999999999</v>
      </c>
      <c r="S43" s="40">
        <v>263473</v>
      </c>
      <c r="T43" s="21">
        <f>N43+P43+R43</f>
        <v>122148.35299999999</v>
      </c>
      <c r="U43" s="22">
        <f>O43+Q43+S43</f>
        <v>553029</v>
      </c>
      <c r="V43" s="22">
        <v>42048.108</v>
      </c>
      <c r="W43" s="22">
        <v>254658</v>
      </c>
      <c r="X43" s="22"/>
      <c r="Y43" s="22"/>
      <c r="Z43" s="22"/>
      <c r="AA43" s="22"/>
      <c r="AB43" s="21">
        <f>V43+X43+Z43</f>
        <v>42048.108</v>
      </c>
      <c r="AC43" s="41">
        <f>W43+Y43+AA43</f>
        <v>254658</v>
      </c>
      <c r="AD43" s="22"/>
      <c r="AE43" s="22"/>
      <c r="AF43" s="22"/>
      <c r="AG43" s="22"/>
      <c r="AH43" s="22"/>
      <c r="AI43" s="22"/>
      <c r="AJ43" s="21">
        <f>AD43+AF43+AH43</f>
        <v>0</v>
      </c>
      <c r="AK43" s="21">
        <f>AE43+AG43+AI43</f>
        <v>0</v>
      </c>
      <c r="AL43" s="21">
        <f>L43+T43+AB43+AJ43</f>
        <v>266333.239</v>
      </c>
      <c r="AM43" s="150"/>
      <c r="AN43" s="150"/>
      <c r="AO43" s="133"/>
      <c r="AP43" s="131"/>
      <c r="AQ43" s="133"/>
      <c r="AV43" s="4"/>
      <c r="AW43" s="193"/>
    </row>
    <row r="44" spans="1:49" s="36" customFormat="1" ht="17.25" customHeight="1">
      <c r="A44" s="146"/>
      <c r="B44" s="146"/>
      <c r="C44" s="25" t="s">
        <v>37</v>
      </c>
      <c r="D44" s="25"/>
      <c r="E44" s="50"/>
      <c r="F44" s="71">
        <f>SUM(F42:F43)</f>
        <v>39304.102000000006</v>
      </c>
      <c r="G44" s="71">
        <f t="shared" ref="G44:AK44" si="13">SUM(G42:G43)</f>
        <v>250839</v>
      </c>
      <c r="H44" s="71">
        <f t="shared" si="13"/>
        <v>37892.760999999999</v>
      </c>
      <c r="I44" s="71">
        <f t="shared" si="13"/>
        <v>282557</v>
      </c>
      <c r="J44" s="71">
        <f t="shared" si="13"/>
        <v>42708.828000000001</v>
      </c>
      <c r="K44" s="71">
        <f t="shared" si="13"/>
        <v>278225</v>
      </c>
      <c r="L44" s="71">
        <f>SUM(L42:L43)</f>
        <v>119905.69100000001</v>
      </c>
      <c r="M44" s="71">
        <f t="shared" si="13"/>
        <v>811621</v>
      </c>
      <c r="N44" s="71">
        <f t="shared" si="13"/>
        <v>46606.964</v>
      </c>
      <c r="O44" s="71">
        <f t="shared" si="13"/>
        <v>294804</v>
      </c>
      <c r="P44" s="71">
        <f t="shared" si="13"/>
        <v>45820.362999999998</v>
      </c>
      <c r="Q44" s="71">
        <f t="shared" si="13"/>
        <v>284899</v>
      </c>
      <c r="R44" s="71">
        <f t="shared" si="13"/>
        <v>47340.273999999998</v>
      </c>
      <c r="S44" s="71">
        <f t="shared" si="13"/>
        <v>311533</v>
      </c>
      <c r="T44" s="71">
        <f>SUM(T42:T43)</f>
        <v>139767.601</v>
      </c>
      <c r="U44" s="71">
        <f>SUM(U42:U43)</f>
        <v>891236</v>
      </c>
      <c r="V44" s="71">
        <f t="shared" si="13"/>
        <v>48728.195</v>
      </c>
      <c r="W44" s="71">
        <f t="shared" si="13"/>
        <v>303330</v>
      </c>
      <c r="X44" s="71">
        <f t="shared" si="13"/>
        <v>0</v>
      </c>
      <c r="Y44" s="71">
        <f t="shared" si="13"/>
        <v>0</v>
      </c>
      <c r="Z44" s="71">
        <f t="shared" si="13"/>
        <v>0</v>
      </c>
      <c r="AA44" s="71">
        <f t="shared" si="13"/>
        <v>0</v>
      </c>
      <c r="AB44" s="71">
        <f t="shared" si="13"/>
        <v>48728.195</v>
      </c>
      <c r="AC44" s="71">
        <f t="shared" si="13"/>
        <v>303330</v>
      </c>
      <c r="AD44" s="71">
        <f t="shared" si="13"/>
        <v>0</v>
      </c>
      <c r="AE44" s="71">
        <f>SUM(AE42:AE43)</f>
        <v>0</v>
      </c>
      <c r="AF44" s="71">
        <f t="shared" si="13"/>
        <v>0</v>
      </c>
      <c r="AG44" s="71">
        <f t="shared" si="13"/>
        <v>0</v>
      </c>
      <c r="AH44" s="71">
        <f t="shared" si="13"/>
        <v>0</v>
      </c>
      <c r="AI44" s="71">
        <f t="shared" si="13"/>
        <v>0</v>
      </c>
      <c r="AJ44" s="71">
        <f t="shared" si="13"/>
        <v>0</v>
      </c>
      <c r="AK44" s="71">
        <f t="shared" si="13"/>
        <v>0</v>
      </c>
      <c r="AL44" s="71">
        <f>SUM(AL42:AL43)</f>
        <v>308401.48700000002</v>
      </c>
      <c r="AM44" s="71">
        <f>SUM(AM42:AM43)</f>
        <v>1198500</v>
      </c>
      <c r="AN44" s="72"/>
      <c r="AO44" s="72"/>
      <c r="AP44" s="73"/>
      <c r="AQ44" s="26"/>
      <c r="AV44" s="30"/>
    </row>
    <row r="45" spans="1:49" s="35" customFormat="1" ht="17.25" customHeight="1">
      <c r="A45" s="145"/>
      <c r="B45" s="145"/>
      <c r="C45" s="19" t="s">
        <v>60</v>
      </c>
      <c r="D45" s="19"/>
      <c r="E45" s="39"/>
      <c r="F45" s="22">
        <v>22961.601999999999</v>
      </c>
      <c r="G45" s="74"/>
      <c r="H45" s="22">
        <v>21550.260999999999</v>
      </c>
      <c r="I45" s="22"/>
      <c r="J45" s="22">
        <v>26366.328000000001</v>
      </c>
      <c r="K45" s="22"/>
      <c r="L45" s="21">
        <f>F45+H45+J45</f>
        <v>70878.190999999992</v>
      </c>
      <c r="M45" s="22"/>
      <c r="N45" s="22">
        <v>30264.464</v>
      </c>
      <c r="O45" s="22"/>
      <c r="P45" s="22">
        <v>29477.863000000001</v>
      </c>
      <c r="Q45" s="22"/>
      <c r="R45" s="22">
        <v>30997.774000000001</v>
      </c>
      <c r="S45" s="22"/>
      <c r="T45" s="75">
        <f>N45+P45+R45</f>
        <v>90740.10100000001</v>
      </c>
      <c r="U45" s="22"/>
      <c r="V45" s="22">
        <v>32385.695</v>
      </c>
      <c r="W45" s="22"/>
      <c r="X45" s="22"/>
      <c r="Y45" s="22"/>
      <c r="Z45" s="22"/>
      <c r="AA45" s="22"/>
      <c r="AB45" s="75">
        <f>V45+X45+Z45</f>
        <v>32385.695</v>
      </c>
      <c r="AC45" s="75">
        <f t="shared" ref="AC45" si="14">SUM(AC43:AC44)</f>
        <v>557988</v>
      </c>
      <c r="AD45" s="22"/>
      <c r="AE45" s="22"/>
      <c r="AF45" s="22"/>
      <c r="AG45" s="22"/>
      <c r="AH45" s="22"/>
      <c r="AI45" s="22"/>
      <c r="AJ45" s="75">
        <f>AD45+AF45+AH45</f>
        <v>0</v>
      </c>
      <c r="AK45" s="75"/>
      <c r="AL45" s="21">
        <f>L45+T45+AB45+AJ45</f>
        <v>194003.98700000002</v>
      </c>
      <c r="AM45" s="74"/>
      <c r="AN45" s="42"/>
      <c r="AO45" s="42"/>
      <c r="AP45" s="76"/>
      <c r="AQ45" s="21"/>
      <c r="AV45" s="4"/>
    </row>
    <row r="46" spans="1:49" s="80" customFormat="1" ht="17.25" customHeight="1">
      <c r="A46" s="145"/>
      <c r="B46" s="145"/>
      <c r="C46" s="77" t="s">
        <v>61</v>
      </c>
      <c r="D46" s="77"/>
      <c r="E46" s="78"/>
      <c r="F46" s="75">
        <f>F44-F45</f>
        <v>16342.500000000007</v>
      </c>
      <c r="G46" s="74"/>
      <c r="H46" s="75">
        <f>H44-H45</f>
        <v>16342.5</v>
      </c>
      <c r="I46" s="75"/>
      <c r="J46" s="75">
        <f>J44-J45</f>
        <v>16342.5</v>
      </c>
      <c r="K46" s="75"/>
      <c r="L46" s="75">
        <f>L44-L45</f>
        <v>49027.500000000015</v>
      </c>
      <c r="M46" s="75"/>
      <c r="N46" s="75">
        <f>N44-N45</f>
        <v>16342.5</v>
      </c>
      <c r="O46" s="75"/>
      <c r="P46" s="75">
        <f t="shared" ref="P46:AA46" si="15">P44-P45</f>
        <v>16342.499999999996</v>
      </c>
      <c r="Q46" s="75"/>
      <c r="R46" s="75">
        <f t="shared" si="15"/>
        <v>16342.499999999996</v>
      </c>
      <c r="S46" s="75"/>
      <c r="T46" s="75">
        <f t="shared" si="15"/>
        <v>49027.499999999985</v>
      </c>
      <c r="U46" s="75"/>
      <c r="V46" s="75">
        <f t="shared" si="15"/>
        <v>16342.5</v>
      </c>
      <c r="W46" s="75">
        <f t="shared" si="15"/>
        <v>303330</v>
      </c>
      <c r="X46" s="75">
        <f t="shared" si="15"/>
        <v>0</v>
      </c>
      <c r="Y46" s="75">
        <f t="shared" si="15"/>
        <v>0</v>
      </c>
      <c r="Z46" s="75">
        <f t="shared" si="15"/>
        <v>0</v>
      </c>
      <c r="AA46" s="75">
        <f t="shared" si="15"/>
        <v>0</v>
      </c>
      <c r="AB46" s="75">
        <f t="shared" ref="AB46:AK46" si="16">SUM(AB44:AB45)</f>
        <v>81113.89</v>
      </c>
      <c r="AC46" s="75">
        <f t="shared" si="16"/>
        <v>861318</v>
      </c>
      <c r="AD46" s="75">
        <f t="shared" si="16"/>
        <v>0</v>
      </c>
      <c r="AE46" s="75">
        <f t="shared" si="16"/>
        <v>0</v>
      </c>
      <c r="AF46" s="75">
        <f t="shared" si="16"/>
        <v>0</v>
      </c>
      <c r="AG46" s="75">
        <f t="shared" si="16"/>
        <v>0</v>
      </c>
      <c r="AH46" s="75">
        <f t="shared" si="16"/>
        <v>0</v>
      </c>
      <c r="AI46" s="75">
        <f t="shared" si="16"/>
        <v>0</v>
      </c>
      <c r="AJ46" s="75">
        <f t="shared" si="16"/>
        <v>0</v>
      </c>
      <c r="AK46" s="75">
        <f t="shared" si="16"/>
        <v>0</v>
      </c>
      <c r="AL46" s="75">
        <f>AL44-AL45</f>
        <v>114397.5</v>
      </c>
      <c r="AM46" s="75"/>
      <c r="AN46" s="27">
        <v>196110</v>
      </c>
      <c r="AO46" s="27">
        <f>AN46/12*$AO$8</f>
        <v>65370</v>
      </c>
      <c r="AP46" s="28">
        <f>AL46/AO46</f>
        <v>1.75</v>
      </c>
      <c r="AQ46" s="79"/>
      <c r="AV46" s="14"/>
    </row>
    <row r="47" spans="1:49" ht="33" customHeight="1">
      <c r="A47" s="151">
        <f>A42+1</f>
        <v>12</v>
      </c>
      <c r="B47" s="151">
        <v>11</v>
      </c>
      <c r="C47" s="151" t="s">
        <v>62</v>
      </c>
      <c r="D47" s="151" t="s">
        <v>63</v>
      </c>
      <c r="E47" s="37" t="s">
        <v>35</v>
      </c>
      <c r="F47" s="44">
        <v>899.36900000000003</v>
      </c>
      <c r="G47" s="44">
        <v>20414</v>
      </c>
      <c r="H47" s="44">
        <v>948.27599999999995</v>
      </c>
      <c r="I47" s="44">
        <v>19566</v>
      </c>
      <c r="J47" s="44">
        <v>708.42</v>
      </c>
      <c r="K47" s="44">
        <v>12281</v>
      </c>
      <c r="L47" s="44">
        <f>F47+H47+J47</f>
        <v>2556.0650000000001</v>
      </c>
      <c r="M47" s="44">
        <f>G47+I47+K47</f>
        <v>52261</v>
      </c>
      <c r="N47" s="44">
        <v>839.10799999999995</v>
      </c>
      <c r="O47" s="44">
        <v>14442</v>
      </c>
      <c r="P47" s="44">
        <v>1268.71</v>
      </c>
      <c r="Q47" s="44">
        <v>25700</v>
      </c>
      <c r="R47" s="44">
        <v>765.32500000000005</v>
      </c>
      <c r="S47" s="44">
        <v>14136</v>
      </c>
      <c r="T47" s="44">
        <f>N47+P47+R47</f>
        <v>2873.143</v>
      </c>
      <c r="U47" s="44">
        <f>O47+Q47+S47</f>
        <v>54278</v>
      </c>
      <c r="V47" s="44">
        <v>819.02099999999996</v>
      </c>
      <c r="W47" s="44">
        <v>17446</v>
      </c>
      <c r="X47" s="44"/>
      <c r="Y47" s="44"/>
      <c r="Z47" s="44"/>
      <c r="AA47" s="44"/>
      <c r="AB47" s="44">
        <f>V47+X47+Z47</f>
        <v>819.02099999999996</v>
      </c>
      <c r="AC47" s="44">
        <f>W47+Y47+AA47</f>
        <v>17446</v>
      </c>
      <c r="AD47" s="44"/>
      <c r="AE47" s="44"/>
      <c r="AF47" s="44"/>
      <c r="AG47" s="44"/>
      <c r="AH47" s="44"/>
      <c r="AI47" s="44"/>
      <c r="AJ47" s="44">
        <f>AD47+AF47+AH47</f>
        <v>0</v>
      </c>
      <c r="AK47" s="44">
        <f>AE47+AG47+AI47</f>
        <v>0</v>
      </c>
      <c r="AL47" s="44">
        <f>L47+T47+AB47+AJ47</f>
        <v>6248.2290000000003</v>
      </c>
      <c r="AM47" s="44">
        <f>M47+U47+AC47+AK47</f>
        <v>123985</v>
      </c>
      <c r="AN47" s="195"/>
      <c r="AO47" s="197"/>
      <c r="AP47" s="199"/>
      <c r="AQ47" s="201"/>
    </row>
    <row r="48" spans="1:49" ht="37.5" customHeight="1">
      <c r="A48" s="151"/>
      <c r="B48" s="151"/>
      <c r="C48" s="151"/>
      <c r="D48" s="151"/>
      <c r="E48" s="37" t="s">
        <v>36</v>
      </c>
      <c r="F48" s="44">
        <v>6161.0429999999997</v>
      </c>
      <c r="G48" s="44">
        <v>103104</v>
      </c>
      <c r="H48" s="44">
        <v>5538.2160000000003</v>
      </c>
      <c r="I48" s="44">
        <v>107185</v>
      </c>
      <c r="J48" s="44">
        <v>5809.3689999999997</v>
      </c>
      <c r="K48" s="44">
        <v>94795</v>
      </c>
      <c r="L48" s="44">
        <f>F48+H48+J48</f>
        <v>17508.628000000001</v>
      </c>
      <c r="M48" s="44">
        <f>G48+I48+K48</f>
        <v>305084</v>
      </c>
      <c r="N48" s="44">
        <v>6442.4709999999995</v>
      </c>
      <c r="O48" s="44">
        <v>104687</v>
      </c>
      <c r="P48" s="44">
        <v>6974.2430000000004</v>
      </c>
      <c r="Q48" s="44">
        <v>123412</v>
      </c>
      <c r="R48" s="44">
        <v>6171.366</v>
      </c>
      <c r="S48" s="44">
        <v>104377</v>
      </c>
      <c r="T48" s="44">
        <f>N48+P48+R48</f>
        <v>19588.080000000002</v>
      </c>
      <c r="U48" s="44">
        <f>O48+Q48+S48</f>
        <v>332476</v>
      </c>
      <c r="V48" s="44">
        <v>6775</v>
      </c>
      <c r="W48" s="44">
        <v>113230</v>
      </c>
      <c r="X48" s="44"/>
      <c r="Y48" s="44"/>
      <c r="Z48" s="44"/>
      <c r="AA48" s="44"/>
      <c r="AB48" s="44">
        <f>V48+X48+Z48</f>
        <v>6775</v>
      </c>
      <c r="AC48" s="44">
        <f>W48+Y48+AA48</f>
        <v>113230</v>
      </c>
      <c r="AD48" s="44"/>
      <c r="AE48" s="44"/>
      <c r="AF48" s="44"/>
      <c r="AG48" s="44"/>
      <c r="AH48" s="44"/>
      <c r="AI48" s="44"/>
      <c r="AJ48" s="44">
        <f>AD48+AF48+AH48</f>
        <v>0</v>
      </c>
      <c r="AK48" s="44">
        <f>AE48+AG48+AI48</f>
        <v>0</v>
      </c>
      <c r="AL48" s="44">
        <f>L48+T48+AB48+AJ48</f>
        <v>43871.707999999999</v>
      </c>
      <c r="AM48" s="44">
        <f>M48+U48+AC48+AK48</f>
        <v>750790</v>
      </c>
      <c r="AN48" s="196"/>
      <c r="AO48" s="198"/>
      <c r="AP48" s="200"/>
      <c r="AQ48" s="201"/>
    </row>
    <row r="49" spans="1:48" s="30" customFormat="1" ht="13.5" customHeight="1">
      <c r="A49" s="194"/>
      <c r="B49" s="194"/>
      <c r="C49" s="34" t="s">
        <v>37</v>
      </c>
      <c r="D49" s="34"/>
      <c r="E49" s="38"/>
      <c r="F49" s="70">
        <f t="shared" ref="F49:AM49" si="17">SUM(F47:F48)</f>
        <v>7060.4119999999994</v>
      </c>
      <c r="G49" s="70">
        <f t="shared" si="17"/>
        <v>123518</v>
      </c>
      <c r="H49" s="70">
        <f t="shared" si="17"/>
        <v>6486.4920000000002</v>
      </c>
      <c r="I49" s="70">
        <f t="shared" si="17"/>
        <v>126751</v>
      </c>
      <c r="J49" s="70">
        <f t="shared" si="17"/>
        <v>6517.7889999999998</v>
      </c>
      <c r="K49" s="70">
        <f t="shared" si="17"/>
        <v>107076</v>
      </c>
      <c r="L49" s="70">
        <f t="shared" si="17"/>
        <v>20064.692999999999</v>
      </c>
      <c r="M49" s="70">
        <f t="shared" si="17"/>
        <v>357345</v>
      </c>
      <c r="N49" s="70">
        <f t="shared" si="17"/>
        <v>7281.5789999999997</v>
      </c>
      <c r="O49" s="70">
        <f t="shared" si="17"/>
        <v>119129</v>
      </c>
      <c r="P49" s="70">
        <f t="shared" si="17"/>
        <v>8242.9530000000013</v>
      </c>
      <c r="Q49" s="70">
        <f t="shared" si="17"/>
        <v>149112</v>
      </c>
      <c r="R49" s="70">
        <f t="shared" si="17"/>
        <v>6936.6909999999998</v>
      </c>
      <c r="S49" s="70">
        <f t="shared" si="17"/>
        <v>118513</v>
      </c>
      <c r="T49" s="70">
        <f t="shared" si="17"/>
        <v>22461.223000000002</v>
      </c>
      <c r="U49" s="70">
        <f t="shared" si="17"/>
        <v>386754</v>
      </c>
      <c r="V49" s="70">
        <f t="shared" si="17"/>
        <v>7594.0209999999997</v>
      </c>
      <c r="W49" s="70">
        <f t="shared" si="17"/>
        <v>130676</v>
      </c>
      <c r="X49" s="70">
        <f t="shared" si="17"/>
        <v>0</v>
      </c>
      <c r="Y49" s="70">
        <f t="shared" si="17"/>
        <v>0</v>
      </c>
      <c r="Z49" s="70">
        <f t="shared" si="17"/>
        <v>0</v>
      </c>
      <c r="AA49" s="70">
        <f t="shared" si="17"/>
        <v>0</v>
      </c>
      <c r="AB49" s="70">
        <f t="shared" si="17"/>
        <v>7594.0209999999997</v>
      </c>
      <c r="AC49" s="70">
        <f t="shared" si="17"/>
        <v>130676</v>
      </c>
      <c r="AD49" s="70">
        <f t="shared" si="17"/>
        <v>0</v>
      </c>
      <c r="AE49" s="70">
        <f t="shared" si="17"/>
        <v>0</v>
      </c>
      <c r="AF49" s="70">
        <f t="shared" si="17"/>
        <v>0</v>
      </c>
      <c r="AG49" s="70">
        <f t="shared" si="17"/>
        <v>0</v>
      </c>
      <c r="AH49" s="70">
        <f t="shared" si="17"/>
        <v>0</v>
      </c>
      <c r="AI49" s="70">
        <f t="shared" si="17"/>
        <v>0</v>
      </c>
      <c r="AJ49" s="70">
        <f t="shared" si="17"/>
        <v>0</v>
      </c>
      <c r="AK49" s="70">
        <f t="shared" si="17"/>
        <v>0</v>
      </c>
      <c r="AL49" s="70">
        <f t="shared" si="17"/>
        <v>50119.936999999998</v>
      </c>
      <c r="AM49" s="70">
        <f t="shared" si="17"/>
        <v>874775</v>
      </c>
      <c r="AN49" s="27">
        <v>126516</v>
      </c>
      <c r="AO49" s="27">
        <f>AN49/12*$AO$8</f>
        <v>42172</v>
      </c>
      <c r="AP49" s="28">
        <f>AL49/AO49</f>
        <v>1.1884647870625058</v>
      </c>
      <c r="AQ49" s="81"/>
    </row>
    <row r="50" spans="1:48" s="57" customFormat="1" ht="41.25" customHeight="1">
      <c r="A50" s="145">
        <f>A47+1</f>
        <v>13</v>
      </c>
      <c r="B50" s="145">
        <v>12</v>
      </c>
      <c r="C50" s="145" t="s">
        <v>64</v>
      </c>
      <c r="D50" s="145" t="s">
        <v>65</v>
      </c>
      <c r="E50" s="39" t="s">
        <v>35</v>
      </c>
      <c r="F50" s="21">
        <v>2166.0160000000001</v>
      </c>
      <c r="G50" s="41">
        <v>33896</v>
      </c>
      <c r="H50" s="21">
        <v>1788.768</v>
      </c>
      <c r="I50" s="41">
        <v>33774</v>
      </c>
      <c r="J50" s="21">
        <v>2025.8969999999999</v>
      </c>
      <c r="K50" s="21">
        <v>31233</v>
      </c>
      <c r="L50" s="21">
        <f>F50+H50+J50</f>
        <v>5980.6810000000005</v>
      </c>
      <c r="M50" s="21">
        <f>G50+I50+K50</f>
        <v>98903</v>
      </c>
      <c r="N50" s="21">
        <v>2022.23</v>
      </c>
      <c r="O50" s="21">
        <v>31322</v>
      </c>
      <c r="P50" s="21">
        <v>1886.547</v>
      </c>
      <c r="Q50" s="21">
        <v>28814</v>
      </c>
      <c r="R50" s="21">
        <v>1934.58</v>
      </c>
      <c r="S50" s="21">
        <v>30188</v>
      </c>
      <c r="T50" s="21">
        <f>N50+P50+R50</f>
        <v>5843.357</v>
      </c>
      <c r="U50" s="22">
        <f>O50+Q50+S50</f>
        <v>90324</v>
      </c>
      <c r="V50" s="21">
        <v>2033</v>
      </c>
      <c r="W50" s="21">
        <v>32159</v>
      </c>
      <c r="X50" s="21"/>
      <c r="Y50" s="21"/>
      <c r="Z50" s="21"/>
      <c r="AA50" s="21"/>
      <c r="AB50" s="21">
        <f>V50+X50+Z50</f>
        <v>2033</v>
      </c>
      <c r="AC50" s="21">
        <f>W50+Y50+AA50</f>
        <v>32159</v>
      </c>
      <c r="AD50" s="21"/>
      <c r="AE50" s="21"/>
      <c r="AF50" s="21"/>
      <c r="AG50" s="21"/>
      <c r="AH50" s="21"/>
      <c r="AI50" s="21"/>
      <c r="AJ50" s="21">
        <f>AD50+AF50+AH50</f>
        <v>0</v>
      </c>
      <c r="AK50" s="21">
        <f>AE50+AG50+AI50</f>
        <v>0</v>
      </c>
      <c r="AL50" s="21">
        <f>L50+T50+AB50+AJ50</f>
        <v>13857.038</v>
      </c>
      <c r="AM50" s="21">
        <f>M50+U50+AC50+AK50</f>
        <v>221386</v>
      </c>
      <c r="AN50" s="149"/>
      <c r="AO50" s="179"/>
      <c r="AP50" s="189"/>
      <c r="AQ50" s="132"/>
      <c r="AR50" s="4"/>
      <c r="AS50" s="4"/>
      <c r="AV50" s="4"/>
    </row>
    <row r="51" spans="1:48" s="57" customFormat="1" ht="41.25" customHeight="1">
      <c r="A51" s="145"/>
      <c r="B51" s="145"/>
      <c r="C51" s="145"/>
      <c r="D51" s="145"/>
      <c r="E51" s="39" t="s">
        <v>36</v>
      </c>
      <c r="F51" s="21">
        <v>12928.062</v>
      </c>
      <c r="G51" s="41">
        <v>200457</v>
      </c>
      <c r="H51" s="21">
        <v>10087.084000000001</v>
      </c>
      <c r="I51" s="41">
        <v>173901</v>
      </c>
      <c r="J51" s="21">
        <v>13372.896000000001</v>
      </c>
      <c r="K51" s="21">
        <v>203027</v>
      </c>
      <c r="L51" s="21">
        <f>F51+H51+J51</f>
        <v>36388.042000000001</v>
      </c>
      <c r="M51" s="21">
        <f>G51+I51+K51</f>
        <v>577385</v>
      </c>
      <c r="N51" s="21">
        <v>12881.763999999999</v>
      </c>
      <c r="O51" s="21">
        <v>203504</v>
      </c>
      <c r="P51" s="21">
        <v>13109.781999999999</v>
      </c>
      <c r="Q51" s="21">
        <v>203605</v>
      </c>
      <c r="R51" s="21">
        <v>13675.921</v>
      </c>
      <c r="S51" s="21">
        <v>205341</v>
      </c>
      <c r="T51" s="21">
        <f>N51+P51+R51</f>
        <v>39667.466999999997</v>
      </c>
      <c r="U51" s="22">
        <f>O51+Q51+S51</f>
        <v>612450</v>
      </c>
      <c r="V51" s="21">
        <v>13788</v>
      </c>
      <c r="W51" s="21">
        <v>216868</v>
      </c>
      <c r="X51" s="21"/>
      <c r="Y51" s="21"/>
      <c r="Z51" s="21"/>
      <c r="AA51" s="21"/>
      <c r="AB51" s="21">
        <f>V51+X51+Z51</f>
        <v>13788</v>
      </c>
      <c r="AC51" s="21">
        <f>W51+Y51+AA51</f>
        <v>216868</v>
      </c>
      <c r="AD51" s="21"/>
      <c r="AE51" s="21"/>
      <c r="AF51" s="21"/>
      <c r="AG51" s="21"/>
      <c r="AH51" s="21"/>
      <c r="AI51" s="21"/>
      <c r="AJ51" s="21">
        <f>AD51+AF51+AH51</f>
        <v>0</v>
      </c>
      <c r="AK51" s="21">
        <f>AE51+AG51+AI51</f>
        <v>0</v>
      </c>
      <c r="AL51" s="21">
        <f>L51+T51+AB51+AJ51</f>
        <v>89843.508999999991</v>
      </c>
      <c r="AM51" s="21">
        <f>M51+U51+AC51+AK51</f>
        <v>1406703</v>
      </c>
      <c r="AN51" s="150"/>
      <c r="AO51" s="180"/>
      <c r="AP51" s="190"/>
      <c r="AQ51" s="133"/>
      <c r="AV51" s="4"/>
    </row>
    <row r="52" spans="1:48" s="63" customFormat="1" ht="12" customHeight="1">
      <c r="A52" s="146"/>
      <c r="B52" s="146"/>
      <c r="C52" s="25" t="s">
        <v>37</v>
      </c>
      <c r="D52" s="25"/>
      <c r="E52" s="26"/>
      <c r="F52" s="26">
        <f t="shared" ref="F52:AM52" si="18">SUM(F50:F51)</f>
        <v>15094.078</v>
      </c>
      <c r="G52" s="26">
        <f t="shared" si="18"/>
        <v>234353</v>
      </c>
      <c r="H52" s="26">
        <f t="shared" si="18"/>
        <v>11875.852000000001</v>
      </c>
      <c r="I52" s="26">
        <f t="shared" si="18"/>
        <v>207675</v>
      </c>
      <c r="J52" s="26">
        <f t="shared" si="18"/>
        <v>15398.793000000001</v>
      </c>
      <c r="K52" s="26">
        <f t="shared" si="18"/>
        <v>234260</v>
      </c>
      <c r="L52" s="26">
        <f t="shared" si="18"/>
        <v>42368.722999999998</v>
      </c>
      <c r="M52" s="26">
        <f t="shared" si="18"/>
        <v>676288</v>
      </c>
      <c r="N52" s="26">
        <f t="shared" si="18"/>
        <v>14903.993999999999</v>
      </c>
      <c r="O52" s="26">
        <f t="shared" si="18"/>
        <v>234826</v>
      </c>
      <c r="P52" s="26">
        <f t="shared" si="18"/>
        <v>14996.329</v>
      </c>
      <c r="Q52" s="26">
        <f t="shared" si="18"/>
        <v>232419</v>
      </c>
      <c r="R52" s="26">
        <f t="shared" si="18"/>
        <v>15610.501</v>
      </c>
      <c r="S52" s="26">
        <f t="shared" si="18"/>
        <v>235529</v>
      </c>
      <c r="T52" s="26">
        <f t="shared" si="18"/>
        <v>45510.823999999993</v>
      </c>
      <c r="U52" s="26">
        <f t="shared" si="18"/>
        <v>702774</v>
      </c>
      <c r="V52" s="26">
        <f t="shared" si="18"/>
        <v>15821</v>
      </c>
      <c r="W52" s="26">
        <f t="shared" si="18"/>
        <v>249027</v>
      </c>
      <c r="X52" s="26">
        <f t="shared" si="18"/>
        <v>0</v>
      </c>
      <c r="Y52" s="26">
        <f t="shared" si="18"/>
        <v>0</v>
      </c>
      <c r="Z52" s="26">
        <f t="shared" si="18"/>
        <v>0</v>
      </c>
      <c r="AA52" s="26">
        <f t="shared" si="18"/>
        <v>0</v>
      </c>
      <c r="AB52" s="26">
        <f t="shared" si="18"/>
        <v>15821</v>
      </c>
      <c r="AC52" s="26">
        <f t="shared" si="18"/>
        <v>249027</v>
      </c>
      <c r="AD52" s="26">
        <f t="shared" si="18"/>
        <v>0</v>
      </c>
      <c r="AE52" s="26">
        <f t="shared" si="18"/>
        <v>0</v>
      </c>
      <c r="AF52" s="26">
        <f t="shared" si="18"/>
        <v>0</v>
      </c>
      <c r="AG52" s="26">
        <f t="shared" si="18"/>
        <v>0</v>
      </c>
      <c r="AH52" s="26">
        <f t="shared" si="18"/>
        <v>0</v>
      </c>
      <c r="AI52" s="26">
        <f t="shared" si="18"/>
        <v>0</v>
      </c>
      <c r="AJ52" s="26">
        <f t="shared" si="18"/>
        <v>0</v>
      </c>
      <c r="AK52" s="26">
        <f t="shared" si="18"/>
        <v>0</v>
      </c>
      <c r="AL52" s="26">
        <f t="shared" si="18"/>
        <v>103700.54699999999</v>
      </c>
      <c r="AM52" s="26">
        <f t="shared" si="18"/>
        <v>1628089</v>
      </c>
      <c r="AN52" s="27">
        <v>267031</v>
      </c>
      <c r="AO52" s="27">
        <f>AN52/12*$AO$8</f>
        <v>89010.333333333328</v>
      </c>
      <c r="AP52" s="28">
        <f>AL52/AO52</f>
        <v>1.1650394186442772</v>
      </c>
      <c r="AQ52" s="26"/>
      <c r="AV52" s="30"/>
    </row>
    <row r="53" spans="1:48" s="35" customFormat="1" ht="46.5" customHeight="1">
      <c r="A53" s="134">
        <f>A50+1</f>
        <v>14</v>
      </c>
      <c r="B53" s="134">
        <f>+B50+1</f>
        <v>13</v>
      </c>
      <c r="C53" s="134" t="s">
        <v>66</v>
      </c>
      <c r="D53" s="134" t="s">
        <v>67</v>
      </c>
      <c r="E53" s="82" t="s">
        <v>35</v>
      </c>
      <c r="F53" s="83">
        <f>3036.968+105.952</f>
        <v>3142.92</v>
      </c>
      <c r="G53" s="83">
        <v>53808</v>
      </c>
      <c r="H53" s="83">
        <f>78.812+3139.572</f>
        <v>3218.384</v>
      </c>
      <c r="I53" s="83">
        <v>62406</v>
      </c>
      <c r="J53" s="83">
        <f>105.392+2764.097</f>
        <v>2869.489</v>
      </c>
      <c r="K53" s="83">
        <v>47871</v>
      </c>
      <c r="L53" s="83">
        <f>F53+H53+J53</f>
        <v>9230.7929999999997</v>
      </c>
      <c r="M53" s="83">
        <f>G53+I53+K53</f>
        <v>164085</v>
      </c>
      <c r="N53" s="83">
        <f>2987.551+96.767</f>
        <v>3084.3179999999998</v>
      </c>
      <c r="O53" s="83">
        <v>50556</v>
      </c>
      <c r="P53" s="83">
        <f>94.831+2736.694</f>
        <v>2831.5250000000001</v>
      </c>
      <c r="Q53" s="83">
        <v>47721</v>
      </c>
      <c r="R53" s="83">
        <f>82.421+2811.306</f>
        <v>2893.7269999999999</v>
      </c>
      <c r="S53" s="83">
        <v>49599</v>
      </c>
      <c r="T53" s="83">
        <f>N53+P53+R53</f>
        <v>8809.57</v>
      </c>
      <c r="U53" s="56">
        <f>O53+Q53+S53</f>
        <v>147876</v>
      </c>
      <c r="V53" s="83">
        <f>83.952+2776.651</f>
        <v>2860.6030000000001</v>
      </c>
      <c r="W53" s="83">
        <v>50646</v>
      </c>
      <c r="X53" s="83"/>
      <c r="Y53" s="83"/>
      <c r="Z53" s="83"/>
      <c r="AA53" s="83"/>
      <c r="AB53" s="83">
        <f>V53+X53+Z53</f>
        <v>2860.6030000000001</v>
      </c>
      <c r="AC53" s="83">
        <f>W53+Y53+AA53</f>
        <v>50646</v>
      </c>
      <c r="AD53" s="83"/>
      <c r="AE53" s="83"/>
      <c r="AF53" s="83"/>
      <c r="AG53" s="83"/>
      <c r="AH53" s="83"/>
      <c r="AI53" s="83"/>
      <c r="AJ53" s="83">
        <f>AD53+AF53+AH53</f>
        <v>0</v>
      </c>
      <c r="AK53" s="83">
        <f>AE53+AG53+AI53</f>
        <v>0</v>
      </c>
      <c r="AL53" s="83">
        <f>L53+T53+AB53+AJ53</f>
        <v>20900.965999999997</v>
      </c>
      <c r="AM53" s="83">
        <f>M53+U53+AC53+AK53</f>
        <v>362607</v>
      </c>
      <c r="AN53" s="136"/>
      <c r="AO53" s="139"/>
      <c r="AP53" s="142"/>
      <c r="AQ53" s="139"/>
      <c r="AV53" s="4"/>
    </row>
    <row r="54" spans="1:48" s="35" customFormat="1" ht="46.5" customHeight="1">
      <c r="A54" s="134"/>
      <c r="B54" s="134"/>
      <c r="C54" s="134"/>
      <c r="D54" s="134"/>
      <c r="E54" s="82" t="s">
        <v>36</v>
      </c>
      <c r="F54" s="83">
        <f>25594.262+291.903</f>
        <v>25886.164999999997</v>
      </c>
      <c r="G54" s="83">
        <v>298152</v>
      </c>
      <c r="H54" s="83">
        <f>277.031+27654.048</f>
        <v>27931.078999999998</v>
      </c>
      <c r="I54" s="83">
        <v>427390</v>
      </c>
      <c r="J54" s="83">
        <f>257.093+26485.175</f>
        <v>26742.268</v>
      </c>
      <c r="K54" s="83">
        <v>301200</v>
      </c>
      <c r="L54" s="83">
        <f>F54+H54+J54</f>
        <v>80559.511999999988</v>
      </c>
      <c r="M54" s="83">
        <f>G54+I54+K54</f>
        <v>1026742</v>
      </c>
      <c r="N54" s="83">
        <f>27010.073+282.923</f>
        <v>27292.995999999999</v>
      </c>
      <c r="O54" s="83">
        <v>305832</v>
      </c>
      <c r="P54" s="83">
        <f>26681.331+268.172</f>
        <v>26949.502999999997</v>
      </c>
      <c r="Q54" s="83">
        <v>300601</v>
      </c>
      <c r="R54" s="83">
        <f>274.468+26443.116</f>
        <v>26717.584000000003</v>
      </c>
      <c r="S54" s="83">
        <v>324376</v>
      </c>
      <c r="T54" s="83">
        <f>N54+P54+R54</f>
        <v>80960.082999999999</v>
      </c>
      <c r="U54" s="56">
        <f>O54+Q54+S54</f>
        <v>930809</v>
      </c>
      <c r="V54" s="83">
        <f>312.122+26560.409</f>
        <v>26872.530999999999</v>
      </c>
      <c r="W54" s="83">
        <v>338294</v>
      </c>
      <c r="X54" s="83"/>
      <c r="Y54" s="83"/>
      <c r="Z54" s="83"/>
      <c r="AA54" s="83"/>
      <c r="AB54" s="83">
        <f>V54+X54+Z54</f>
        <v>26872.530999999999</v>
      </c>
      <c r="AC54" s="83">
        <f>W54+Y54+AA54</f>
        <v>338294</v>
      </c>
      <c r="AD54" s="83"/>
      <c r="AE54" s="83"/>
      <c r="AF54" s="83"/>
      <c r="AG54" s="83"/>
      <c r="AH54" s="83"/>
      <c r="AI54" s="83"/>
      <c r="AJ54" s="83">
        <f>AD54+AF54+AH54</f>
        <v>0</v>
      </c>
      <c r="AK54" s="83">
        <f>AE54+AG54+AI54</f>
        <v>0</v>
      </c>
      <c r="AL54" s="83">
        <f>L54+T54+AB54+AJ54</f>
        <v>188392.12599999996</v>
      </c>
      <c r="AM54" s="83">
        <f>M54+U54+AC54+AK54</f>
        <v>2295845</v>
      </c>
      <c r="AN54" s="138"/>
      <c r="AO54" s="141"/>
      <c r="AP54" s="144"/>
      <c r="AQ54" s="141"/>
      <c r="AV54" s="4"/>
    </row>
    <row r="55" spans="1:48" s="36" customFormat="1" ht="14.25">
      <c r="A55" s="135"/>
      <c r="B55" s="135"/>
      <c r="C55" s="59" t="s">
        <v>37</v>
      </c>
      <c r="D55" s="59"/>
      <c r="E55" s="62"/>
      <c r="F55" s="62">
        <f t="shared" ref="F55:AM55" si="19">SUM(F53:F54)</f>
        <v>29029.084999999999</v>
      </c>
      <c r="G55" s="62">
        <f t="shared" si="19"/>
        <v>351960</v>
      </c>
      <c r="H55" s="62">
        <f t="shared" si="19"/>
        <v>31149.462999999996</v>
      </c>
      <c r="I55" s="62">
        <f t="shared" si="19"/>
        <v>489796</v>
      </c>
      <c r="J55" s="62">
        <f t="shared" si="19"/>
        <v>29611.757000000001</v>
      </c>
      <c r="K55" s="62">
        <f t="shared" si="19"/>
        <v>349071</v>
      </c>
      <c r="L55" s="62">
        <f t="shared" si="19"/>
        <v>89790.304999999993</v>
      </c>
      <c r="M55" s="62">
        <f t="shared" si="19"/>
        <v>1190827</v>
      </c>
      <c r="N55" s="62">
        <f t="shared" si="19"/>
        <v>30377.313999999998</v>
      </c>
      <c r="O55" s="62">
        <f t="shared" si="19"/>
        <v>356388</v>
      </c>
      <c r="P55" s="62">
        <f t="shared" si="19"/>
        <v>29781.027999999998</v>
      </c>
      <c r="Q55" s="62">
        <f t="shared" si="19"/>
        <v>348322</v>
      </c>
      <c r="R55" s="62">
        <f t="shared" si="19"/>
        <v>29611.311000000002</v>
      </c>
      <c r="S55" s="62">
        <f t="shared" si="19"/>
        <v>373975</v>
      </c>
      <c r="T55" s="62">
        <f t="shared" si="19"/>
        <v>89769.652999999991</v>
      </c>
      <c r="U55" s="62">
        <f t="shared" si="19"/>
        <v>1078685</v>
      </c>
      <c r="V55" s="62">
        <f t="shared" si="19"/>
        <v>29733.133999999998</v>
      </c>
      <c r="W55" s="62">
        <f t="shared" si="19"/>
        <v>388940</v>
      </c>
      <c r="X55" s="62">
        <f t="shared" si="19"/>
        <v>0</v>
      </c>
      <c r="Y55" s="62">
        <f t="shared" si="19"/>
        <v>0</v>
      </c>
      <c r="Z55" s="62">
        <f t="shared" si="19"/>
        <v>0</v>
      </c>
      <c r="AA55" s="62">
        <f t="shared" si="19"/>
        <v>0</v>
      </c>
      <c r="AB55" s="62">
        <f t="shared" si="19"/>
        <v>29733.133999999998</v>
      </c>
      <c r="AC55" s="62">
        <f t="shared" si="19"/>
        <v>388940</v>
      </c>
      <c r="AD55" s="62">
        <f t="shared" si="19"/>
        <v>0</v>
      </c>
      <c r="AE55" s="62">
        <f t="shared" si="19"/>
        <v>0</v>
      </c>
      <c r="AF55" s="62">
        <f t="shared" si="19"/>
        <v>0</v>
      </c>
      <c r="AG55" s="62">
        <f t="shared" si="19"/>
        <v>0</v>
      </c>
      <c r="AH55" s="62">
        <f t="shared" si="19"/>
        <v>0</v>
      </c>
      <c r="AI55" s="62">
        <f t="shared" si="19"/>
        <v>0</v>
      </c>
      <c r="AJ55" s="62">
        <f t="shared" si="19"/>
        <v>0</v>
      </c>
      <c r="AK55" s="62">
        <f t="shared" si="19"/>
        <v>0</v>
      </c>
      <c r="AL55" s="62">
        <f t="shared" si="19"/>
        <v>209293.09199999995</v>
      </c>
      <c r="AM55" s="62">
        <f t="shared" si="19"/>
        <v>2658452</v>
      </c>
      <c r="AN55" s="27">
        <v>640920</v>
      </c>
      <c r="AO55" s="27">
        <f>AN55/12*$AO$8</f>
        <v>213640</v>
      </c>
      <c r="AP55" s="28">
        <f>AL55/AO55</f>
        <v>0.97965311739374628</v>
      </c>
      <c r="AQ55" s="62"/>
      <c r="AV55" s="30"/>
    </row>
    <row r="56" spans="1:48" s="57" customFormat="1" ht="50.25" customHeight="1">
      <c r="A56" s="145">
        <f>+A53+1</f>
        <v>15</v>
      </c>
      <c r="B56" s="145">
        <f>+B53+1</f>
        <v>14</v>
      </c>
      <c r="C56" s="145" t="s">
        <v>68</v>
      </c>
      <c r="D56" s="145" t="s">
        <v>69</v>
      </c>
      <c r="E56" s="39" t="s">
        <v>35</v>
      </c>
      <c r="F56" s="21">
        <v>23186.445</v>
      </c>
      <c r="G56" s="21">
        <f>39365+140+3666+34</f>
        <v>43205</v>
      </c>
      <c r="H56" s="21">
        <v>2748.5810000000001</v>
      </c>
      <c r="I56" s="21">
        <f>47970+62+2952+25</f>
        <v>51009</v>
      </c>
      <c r="J56" s="21">
        <v>2423.8989999999999</v>
      </c>
      <c r="K56" s="21">
        <f>35356+100+2961+18</f>
        <v>38435</v>
      </c>
      <c r="L56" s="21">
        <f>F56+H56+J56</f>
        <v>28358.924999999999</v>
      </c>
      <c r="M56" s="21">
        <f>G56+I56+K56</f>
        <v>132649</v>
      </c>
      <c r="N56" s="21">
        <v>2668.3049999999998</v>
      </c>
      <c r="O56" s="21">
        <v>42775</v>
      </c>
      <c r="P56" s="21">
        <v>2428.8620000000001</v>
      </c>
      <c r="Q56" s="21">
        <v>40719</v>
      </c>
      <c r="R56" s="21">
        <v>2503.54</v>
      </c>
      <c r="S56" s="21">
        <f>39324+154+3506+28</f>
        <v>43012</v>
      </c>
      <c r="T56" s="21">
        <f>N56+P56+R56</f>
        <v>7600.7069999999994</v>
      </c>
      <c r="U56" s="22">
        <f>O56+Q56+S56</f>
        <v>126506</v>
      </c>
      <c r="V56" s="21">
        <v>2339</v>
      </c>
      <c r="W56" s="21">
        <f>112+3229+29</f>
        <v>3370</v>
      </c>
      <c r="X56" s="21"/>
      <c r="Y56" s="21"/>
      <c r="Z56" s="21"/>
      <c r="AA56" s="21"/>
      <c r="AB56" s="21">
        <f>V56+X56+Z56</f>
        <v>2339</v>
      </c>
      <c r="AC56" s="21">
        <f>W56+Y56+AA56</f>
        <v>3370</v>
      </c>
      <c r="AD56" s="21"/>
      <c r="AE56" s="21"/>
      <c r="AF56" s="21"/>
      <c r="AG56" s="21"/>
      <c r="AH56" s="21"/>
      <c r="AI56" s="21"/>
      <c r="AJ56" s="21">
        <f>AD56+AF56+AH56</f>
        <v>0</v>
      </c>
      <c r="AK56" s="21">
        <f>AE56+AG56+AI56</f>
        <v>0</v>
      </c>
      <c r="AL56" s="21">
        <f>L56+T56+AB56+AJ56</f>
        <v>38298.631999999998</v>
      </c>
      <c r="AM56" s="21">
        <f>M56+U56+AC56+AK56</f>
        <v>262525</v>
      </c>
      <c r="AN56" s="149"/>
      <c r="AO56" s="149"/>
      <c r="AP56" s="130"/>
      <c r="AQ56" s="132"/>
      <c r="AV56" s="4"/>
    </row>
    <row r="57" spans="1:48" s="57" customFormat="1" ht="45.75" customHeight="1">
      <c r="A57" s="145"/>
      <c r="B57" s="145"/>
      <c r="C57" s="145"/>
      <c r="D57" s="145"/>
      <c r="E57" s="39" t="s">
        <v>36</v>
      </c>
      <c r="F57" s="21">
        <v>2616.741</v>
      </c>
      <c r="G57" s="21">
        <f>211127+21872</f>
        <v>232999</v>
      </c>
      <c r="H57" s="21">
        <v>27155.481</v>
      </c>
      <c r="I57" s="21">
        <f>351727+22498</f>
        <v>374225</v>
      </c>
      <c r="J57" s="21">
        <v>22149.008999999998</v>
      </c>
      <c r="K57" s="21">
        <f>202652+22933</f>
        <v>225585</v>
      </c>
      <c r="L57" s="21">
        <f>F57+H57+J57</f>
        <v>51921.231</v>
      </c>
      <c r="M57" s="21">
        <f>G57+I57+K57</f>
        <v>832809</v>
      </c>
      <c r="N57" s="21">
        <v>25012.473999999998</v>
      </c>
      <c r="O57" s="21">
        <v>250195</v>
      </c>
      <c r="P57" s="21">
        <v>22914.695</v>
      </c>
      <c r="Q57" s="21">
        <v>235656</v>
      </c>
      <c r="R57" s="21">
        <v>24652.416000000001</v>
      </c>
      <c r="S57" s="21">
        <f>243543+25299</f>
        <v>268842</v>
      </c>
      <c r="T57" s="21">
        <f>N57+P57+R57</f>
        <v>72579.584999999992</v>
      </c>
      <c r="U57" s="22">
        <f>O57+Q57+S57</f>
        <v>754693</v>
      </c>
      <c r="V57" s="21">
        <v>23262</v>
      </c>
      <c r="W57" s="21">
        <f>279201+24655</f>
        <v>303856</v>
      </c>
      <c r="X57" s="21"/>
      <c r="Y57" s="21"/>
      <c r="Z57" s="21"/>
      <c r="AA57" s="21"/>
      <c r="AB57" s="21">
        <f>V57+X57+Z57</f>
        <v>23262</v>
      </c>
      <c r="AC57" s="21">
        <f>W57+Y57+AA57</f>
        <v>303856</v>
      </c>
      <c r="AD57" s="21"/>
      <c r="AE57" s="21"/>
      <c r="AF57" s="21"/>
      <c r="AG57" s="21"/>
      <c r="AH57" s="21"/>
      <c r="AI57" s="21"/>
      <c r="AJ57" s="21">
        <f>AD57+AF57+AH57</f>
        <v>0</v>
      </c>
      <c r="AK57" s="21">
        <f>AE57+AG57+AI57</f>
        <v>0</v>
      </c>
      <c r="AL57" s="21">
        <f>L57+T57+AB57+AJ57</f>
        <v>147762.81599999999</v>
      </c>
      <c r="AM57" s="21">
        <f>M57+U57+AC57+AK57</f>
        <v>1891358</v>
      </c>
      <c r="AN57" s="150"/>
      <c r="AO57" s="150"/>
      <c r="AP57" s="131"/>
      <c r="AQ57" s="133"/>
      <c r="AV57" s="4"/>
    </row>
    <row r="58" spans="1:48" s="63" customFormat="1" ht="12" customHeight="1">
      <c r="A58" s="146"/>
      <c r="B58" s="146"/>
      <c r="C58" s="25" t="s">
        <v>37</v>
      </c>
      <c r="D58" s="25"/>
      <c r="E58" s="26"/>
      <c r="F58" s="26">
        <f t="shared" ref="F58:AM58" si="20">SUM(F56:F57)</f>
        <v>25803.186000000002</v>
      </c>
      <c r="G58" s="26">
        <f t="shared" si="20"/>
        <v>276204</v>
      </c>
      <c r="H58" s="26">
        <f t="shared" si="20"/>
        <v>29904.061999999998</v>
      </c>
      <c r="I58" s="26">
        <f t="shared" si="20"/>
        <v>425234</v>
      </c>
      <c r="J58" s="26">
        <f t="shared" si="20"/>
        <v>24572.907999999999</v>
      </c>
      <c r="K58" s="26">
        <f t="shared" si="20"/>
        <v>264020</v>
      </c>
      <c r="L58" s="26">
        <f t="shared" si="20"/>
        <v>80280.156000000003</v>
      </c>
      <c r="M58" s="26">
        <f t="shared" si="20"/>
        <v>965458</v>
      </c>
      <c r="N58" s="26">
        <f t="shared" si="20"/>
        <v>27680.778999999999</v>
      </c>
      <c r="O58" s="26">
        <f t="shared" si="20"/>
        <v>292970</v>
      </c>
      <c r="P58" s="26">
        <f t="shared" si="20"/>
        <v>25343.557000000001</v>
      </c>
      <c r="Q58" s="26">
        <f t="shared" si="20"/>
        <v>276375</v>
      </c>
      <c r="R58" s="26">
        <f t="shared" si="20"/>
        <v>27155.956000000002</v>
      </c>
      <c r="S58" s="26">
        <f t="shared" si="20"/>
        <v>311854</v>
      </c>
      <c r="T58" s="26">
        <f t="shared" si="20"/>
        <v>80180.291999999987</v>
      </c>
      <c r="U58" s="26">
        <f t="shared" si="20"/>
        <v>881199</v>
      </c>
      <c r="V58" s="26">
        <f t="shared" si="20"/>
        <v>25601</v>
      </c>
      <c r="W58" s="26">
        <f t="shared" si="20"/>
        <v>307226</v>
      </c>
      <c r="X58" s="26">
        <f t="shared" si="20"/>
        <v>0</v>
      </c>
      <c r="Y58" s="26">
        <f t="shared" si="20"/>
        <v>0</v>
      </c>
      <c r="Z58" s="26">
        <f t="shared" si="20"/>
        <v>0</v>
      </c>
      <c r="AA58" s="26">
        <f t="shared" si="20"/>
        <v>0</v>
      </c>
      <c r="AB58" s="26">
        <f t="shared" si="20"/>
        <v>25601</v>
      </c>
      <c r="AC58" s="26">
        <f t="shared" si="20"/>
        <v>307226</v>
      </c>
      <c r="AD58" s="26">
        <f t="shared" si="20"/>
        <v>0</v>
      </c>
      <c r="AE58" s="26">
        <f t="shared" si="20"/>
        <v>0</v>
      </c>
      <c r="AF58" s="26">
        <f t="shared" si="20"/>
        <v>0</v>
      </c>
      <c r="AG58" s="26">
        <f t="shared" si="20"/>
        <v>0</v>
      </c>
      <c r="AH58" s="26">
        <f t="shared" si="20"/>
        <v>0</v>
      </c>
      <c r="AI58" s="26">
        <f t="shared" si="20"/>
        <v>0</v>
      </c>
      <c r="AJ58" s="26">
        <f t="shared" si="20"/>
        <v>0</v>
      </c>
      <c r="AK58" s="26">
        <f t="shared" si="20"/>
        <v>0</v>
      </c>
      <c r="AL58" s="26">
        <f t="shared" si="20"/>
        <v>186061.44799999997</v>
      </c>
      <c r="AM58" s="26">
        <f t="shared" si="20"/>
        <v>2153883</v>
      </c>
      <c r="AN58" s="27">
        <v>448170</v>
      </c>
      <c r="AO58" s="27">
        <f>AN58/12*$AO$8</f>
        <v>149390</v>
      </c>
      <c r="AP58" s="28">
        <f>AL58/AO58</f>
        <v>1.2454745833054419</v>
      </c>
      <c r="AQ58" s="26"/>
      <c r="AV58" s="30"/>
    </row>
    <row r="59" spans="1:48" s="35" customFormat="1" ht="48" customHeight="1">
      <c r="A59" s="134">
        <f>+A56+1</f>
        <v>16</v>
      </c>
      <c r="B59" s="134">
        <f>+B56+1</f>
        <v>15</v>
      </c>
      <c r="C59" s="134" t="s">
        <v>70</v>
      </c>
      <c r="D59" s="134" t="s">
        <v>71</v>
      </c>
      <c r="E59" s="82" t="s">
        <v>35</v>
      </c>
      <c r="F59" s="83">
        <v>4191.8500000000004</v>
      </c>
      <c r="G59" s="83">
        <f>80854+163+8326+344</f>
        <v>89687</v>
      </c>
      <c r="H59" s="83">
        <v>3672.4409999999998</v>
      </c>
      <c r="I59" s="83">
        <f>83244+92+9074+245</f>
        <v>92655</v>
      </c>
      <c r="J59" s="83">
        <v>3782.431</v>
      </c>
      <c r="K59" s="32">
        <f>71390+102+7490+303</f>
        <v>79285</v>
      </c>
      <c r="L59" s="83">
        <f>F59+H59+J59</f>
        <v>11646.722</v>
      </c>
      <c r="M59" s="83">
        <f>G59+I59+K59</f>
        <v>261627</v>
      </c>
      <c r="N59" s="83">
        <v>3660.4859999999999</v>
      </c>
      <c r="O59" s="83">
        <f>69956+117+7416+428</f>
        <v>77917</v>
      </c>
      <c r="P59" s="83">
        <v>3691.5680000000002</v>
      </c>
      <c r="Q59" s="83">
        <f>70601+144+7424+266</f>
        <v>78435</v>
      </c>
      <c r="R59" s="83">
        <v>3758.73</v>
      </c>
      <c r="S59" s="83">
        <f>73788+179+7450+237</f>
        <v>81654</v>
      </c>
      <c r="T59" s="83">
        <f>N59+P59+R59</f>
        <v>11110.784</v>
      </c>
      <c r="U59" s="56">
        <f>O59+Q59+S59</f>
        <v>238006</v>
      </c>
      <c r="V59" s="83">
        <v>3637.2550000000001</v>
      </c>
      <c r="W59" s="83">
        <f>73843+214+7554+235</f>
        <v>81846</v>
      </c>
      <c r="X59" s="83"/>
      <c r="Y59" s="83"/>
      <c r="Z59" s="83"/>
      <c r="AA59" s="83"/>
      <c r="AB59" s="83">
        <f>V59+X59+Z59</f>
        <v>3637.2550000000001</v>
      </c>
      <c r="AC59" s="83">
        <f>W59+Y59+AA59</f>
        <v>81846</v>
      </c>
      <c r="AD59" s="83"/>
      <c r="AE59" s="83"/>
      <c r="AF59" s="83"/>
      <c r="AG59" s="83"/>
      <c r="AH59" s="83"/>
      <c r="AI59" s="83"/>
      <c r="AJ59" s="83">
        <f>AD59+AF59+AH59</f>
        <v>0</v>
      </c>
      <c r="AK59" s="83">
        <f>AE59+AG59+AI59</f>
        <v>0</v>
      </c>
      <c r="AL59" s="83">
        <f>L59+T59+AB59+AJ59</f>
        <v>26394.761000000002</v>
      </c>
      <c r="AM59" s="83">
        <f>M59+U59+AC59+AK59</f>
        <v>581479</v>
      </c>
      <c r="AN59" s="136"/>
      <c r="AO59" s="136"/>
      <c r="AP59" s="191"/>
      <c r="AQ59" s="139"/>
      <c r="AV59" s="4"/>
    </row>
    <row r="60" spans="1:48" s="35" customFormat="1" ht="48" customHeight="1">
      <c r="A60" s="134"/>
      <c r="B60" s="134"/>
      <c r="C60" s="134"/>
      <c r="D60" s="134"/>
      <c r="E60" s="82" t="s">
        <v>36</v>
      </c>
      <c r="F60" s="83">
        <v>25243.584999999999</v>
      </c>
      <c r="G60" s="83">
        <v>346314</v>
      </c>
      <c r="H60" s="83">
        <v>25857.776000000002</v>
      </c>
      <c r="I60" s="83">
        <v>463914</v>
      </c>
      <c r="J60" s="83">
        <v>25045.626</v>
      </c>
      <c r="K60" s="32">
        <v>342309</v>
      </c>
      <c r="L60" s="83">
        <f>F60+H60+J60</f>
        <v>76146.987000000008</v>
      </c>
      <c r="M60" s="83">
        <f>G60+I60+K60</f>
        <v>1152537</v>
      </c>
      <c r="N60" s="83">
        <v>24810.706999999999</v>
      </c>
      <c r="O60" s="83">
        <v>336287</v>
      </c>
      <c r="P60" s="83">
        <f>25454.496+12.784</f>
        <v>25467.279999999999</v>
      </c>
      <c r="Q60" s="83">
        <v>345307</v>
      </c>
      <c r="R60" s="83">
        <f>25012.917+1.291</f>
        <v>25014.208000000002</v>
      </c>
      <c r="S60" s="83">
        <v>366649</v>
      </c>
      <c r="T60" s="83">
        <f>N60+P60+R60</f>
        <v>75292.194999999992</v>
      </c>
      <c r="U60" s="56">
        <f>O60+Q60+S60</f>
        <v>1048243</v>
      </c>
      <c r="V60" s="83">
        <v>24958.008999999998</v>
      </c>
      <c r="W60" s="83">
        <v>379935</v>
      </c>
      <c r="X60" s="83"/>
      <c r="Y60" s="83"/>
      <c r="Z60" s="83"/>
      <c r="AA60" s="83"/>
      <c r="AB60" s="83">
        <f>V60+X60+Z60</f>
        <v>24958.008999999998</v>
      </c>
      <c r="AC60" s="83">
        <f>W60+Y60+AA60</f>
        <v>379935</v>
      </c>
      <c r="AD60" s="83"/>
      <c r="AE60" s="83"/>
      <c r="AF60" s="83"/>
      <c r="AG60" s="83"/>
      <c r="AH60" s="83"/>
      <c r="AI60" s="83"/>
      <c r="AJ60" s="83">
        <f>AD60+AF60+AH60</f>
        <v>0</v>
      </c>
      <c r="AK60" s="83">
        <f>AE60+AG60+AI60</f>
        <v>0</v>
      </c>
      <c r="AL60" s="83">
        <f>L60+T60+AB60+AJ60</f>
        <v>176397.19099999999</v>
      </c>
      <c r="AM60" s="83">
        <f>M60+U60+AC60+AK60</f>
        <v>2580715</v>
      </c>
      <c r="AN60" s="138"/>
      <c r="AO60" s="138"/>
      <c r="AP60" s="192"/>
      <c r="AQ60" s="141"/>
      <c r="AV60" s="4"/>
    </row>
    <row r="61" spans="1:48" s="36" customFormat="1" ht="12.75" customHeight="1">
      <c r="A61" s="135"/>
      <c r="B61" s="135"/>
      <c r="C61" s="59" t="s">
        <v>37</v>
      </c>
      <c r="D61" s="59"/>
      <c r="E61" s="62"/>
      <c r="F61" s="62">
        <f t="shared" ref="F61:AM62" si="21">SUM(F59:F60)</f>
        <v>29435.434999999998</v>
      </c>
      <c r="G61" s="62">
        <f t="shared" si="21"/>
        <v>436001</v>
      </c>
      <c r="H61" s="62">
        <f t="shared" si="21"/>
        <v>29530.217000000001</v>
      </c>
      <c r="I61" s="62">
        <f t="shared" si="21"/>
        <v>556569</v>
      </c>
      <c r="J61" s="62">
        <f t="shared" si="21"/>
        <v>28828.057000000001</v>
      </c>
      <c r="K61" s="62">
        <f t="shared" si="21"/>
        <v>421594</v>
      </c>
      <c r="L61" s="62">
        <f t="shared" si="21"/>
        <v>87793.709000000003</v>
      </c>
      <c r="M61" s="62">
        <f t="shared" si="21"/>
        <v>1414164</v>
      </c>
      <c r="N61" s="62">
        <f t="shared" si="21"/>
        <v>28471.192999999999</v>
      </c>
      <c r="O61" s="62">
        <f t="shared" si="21"/>
        <v>414204</v>
      </c>
      <c r="P61" s="62">
        <f t="shared" si="21"/>
        <v>29158.847999999998</v>
      </c>
      <c r="Q61" s="62">
        <f t="shared" si="21"/>
        <v>423742</v>
      </c>
      <c r="R61" s="62">
        <f t="shared" si="21"/>
        <v>28772.938000000002</v>
      </c>
      <c r="S61" s="62">
        <f t="shared" si="21"/>
        <v>448303</v>
      </c>
      <c r="T61" s="62">
        <f t="shared" si="21"/>
        <v>86402.978999999992</v>
      </c>
      <c r="U61" s="62">
        <f t="shared" si="21"/>
        <v>1286249</v>
      </c>
      <c r="V61" s="62">
        <f t="shared" si="21"/>
        <v>28595.263999999999</v>
      </c>
      <c r="W61" s="62">
        <f t="shared" si="21"/>
        <v>461781</v>
      </c>
      <c r="X61" s="62">
        <f t="shared" si="21"/>
        <v>0</v>
      </c>
      <c r="Y61" s="62">
        <f t="shared" si="21"/>
        <v>0</v>
      </c>
      <c r="Z61" s="62">
        <f t="shared" si="21"/>
        <v>0</v>
      </c>
      <c r="AA61" s="62">
        <f t="shared" si="21"/>
        <v>0</v>
      </c>
      <c r="AB61" s="62">
        <f t="shared" si="21"/>
        <v>28595.263999999999</v>
      </c>
      <c r="AC61" s="62">
        <f t="shared" si="21"/>
        <v>461781</v>
      </c>
      <c r="AD61" s="62">
        <f t="shared" si="21"/>
        <v>0</v>
      </c>
      <c r="AE61" s="62">
        <f t="shared" si="21"/>
        <v>0</v>
      </c>
      <c r="AF61" s="62">
        <f t="shared" si="21"/>
        <v>0</v>
      </c>
      <c r="AG61" s="62">
        <f t="shared" si="21"/>
        <v>0</v>
      </c>
      <c r="AH61" s="62">
        <f t="shared" si="21"/>
        <v>0</v>
      </c>
      <c r="AI61" s="62">
        <f t="shared" si="21"/>
        <v>0</v>
      </c>
      <c r="AJ61" s="62">
        <f t="shared" si="21"/>
        <v>0</v>
      </c>
      <c r="AK61" s="62">
        <f t="shared" si="21"/>
        <v>0</v>
      </c>
      <c r="AL61" s="62">
        <f t="shared" si="21"/>
        <v>202791.95199999999</v>
      </c>
      <c r="AM61" s="62">
        <f t="shared" si="21"/>
        <v>3162194</v>
      </c>
      <c r="AN61" s="27">
        <v>538520</v>
      </c>
      <c r="AO61" s="27">
        <f>AN61/12*$AO$8</f>
        <v>179506.66666666666</v>
      </c>
      <c r="AP61" s="28">
        <f>AL61/AO61</f>
        <v>1.1297182203075096</v>
      </c>
      <c r="AQ61" s="62"/>
      <c r="AV61" s="30"/>
    </row>
    <row r="62" spans="1:48" s="57" customFormat="1" ht="15" customHeight="1">
      <c r="A62" s="145">
        <f>+A59+1</f>
        <v>17</v>
      </c>
      <c r="B62" s="145">
        <v>16</v>
      </c>
      <c r="C62" s="145" t="s">
        <v>72</v>
      </c>
      <c r="D62" s="145" t="s">
        <v>73</v>
      </c>
      <c r="E62" s="39" t="s">
        <v>35</v>
      </c>
      <c r="F62" s="40">
        <v>0</v>
      </c>
      <c r="G62" s="40">
        <f>1134+36494</f>
        <v>37628</v>
      </c>
      <c r="H62" s="40">
        <v>2617.2800000000002</v>
      </c>
      <c r="I62" s="40">
        <f>42544+508+68+2639+1143+928</f>
        <v>47830</v>
      </c>
      <c r="J62" s="40">
        <v>2748.3739999999998</v>
      </c>
      <c r="K62" s="40">
        <f>37462+741+133+2449+234</f>
        <v>41019</v>
      </c>
      <c r="L62" s="21">
        <f t="shared" ref="L62:M67" si="22">F62+H62+J62</f>
        <v>5365.6540000000005</v>
      </c>
      <c r="M62" s="21">
        <f t="shared" si="22"/>
        <v>126477</v>
      </c>
      <c r="N62" s="40">
        <v>2752.7869999999998</v>
      </c>
      <c r="O62" s="40">
        <f>37173+909+123+2517+193+1487</f>
        <v>42402</v>
      </c>
      <c r="P62" s="40">
        <v>2725.38</v>
      </c>
      <c r="Q62" s="40">
        <f>36355+736+120+2266+348</f>
        <v>39825</v>
      </c>
      <c r="R62" s="40">
        <v>2598</v>
      </c>
      <c r="S62" s="40">
        <f>36974+620+148+2050+375</f>
        <v>40167</v>
      </c>
      <c r="T62" s="21">
        <f t="shared" ref="T62:U68" si="23">N62+P62+R62</f>
        <v>8076.1669999999995</v>
      </c>
      <c r="U62" s="22">
        <f t="shared" si="23"/>
        <v>122394</v>
      </c>
      <c r="V62" s="40">
        <v>2654.9369999999999</v>
      </c>
      <c r="W62" s="40">
        <f>37852+642+105+2083+296+1742</f>
        <v>42720</v>
      </c>
      <c r="X62" s="40"/>
      <c r="Y62" s="40"/>
      <c r="Z62" s="40"/>
      <c r="AA62" s="40"/>
      <c r="AB62" s="21">
        <f t="shared" ref="AB62:AC67" si="24">V62+X62+Z62</f>
        <v>2654.9369999999999</v>
      </c>
      <c r="AC62" s="86">
        <f t="shared" si="21"/>
        <v>841716</v>
      </c>
      <c r="AD62" s="40"/>
      <c r="AE62" s="40"/>
      <c r="AF62" s="40"/>
      <c r="AG62" s="40"/>
      <c r="AH62" s="40"/>
      <c r="AI62" s="40"/>
      <c r="AJ62" s="21">
        <f t="shared" ref="AJ62:AK67" si="25">AD62+AF62+AH62</f>
        <v>0</v>
      </c>
      <c r="AK62" s="21">
        <f t="shared" si="25"/>
        <v>0</v>
      </c>
      <c r="AL62" s="21">
        <f t="shared" ref="AL62:AM67" si="26">L62+T62+AB62+AJ62</f>
        <v>16096.758</v>
      </c>
      <c r="AM62" s="21">
        <f t="shared" si="26"/>
        <v>1090587</v>
      </c>
      <c r="AN62" s="149">
        <v>376630</v>
      </c>
      <c r="AO62" s="149"/>
      <c r="AP62" s="130"/>
      <c r="AQ62" s="132"/>
      <c r="AV62" s="4"/>
    </row>
    <row r="63" spans="1:48" s="57" customFormat="1" ht="15" customHeight="1">
      <c r="A63" s="145"/>
      <c r="B63" s="145"/>
      <c r="C63" s="145"/>
      <c r="D63" s="145"/>
      <c r="E63" s="39" t="s">
        <v>36</v>
      </c>
      <c r="F63" s="40">
        <v>23545.988000000001</v>
      </c>
      <c r="G63" s="40">
        <f>1288+232689+1300</f>
        <v>235277</v>
      </c>
      <c r="H63" s="40">
        <v>25501.848000000002</v>
      </c>
      <c r="I63" s="40">
        <f>356257+1646+10762+1049</f>
        <v>369714</v>
      </c>
      <c r="J63" s="40">
        <v>23281.238000000001</v>
      </c>
      <c r="K63" s="40">
        <f>226950+2074+8038</f>
        <v>237062</v>
      </c>
      <c r="L63" s="21">
        <f t="shared" si="22"/>
        <v>72329.074000000008</v>
      </c>
      <c r="M63" s="21">
        <f t="shared" si="22"/>
        <v>842053</v>
      </c>
      <c r="N63" s="40">
        <v>23646.101999999999</v>
      </c>
      <c r="O63" s="40">
        <f>229579+2194+7939</f>
        <v>239712</v>
      </c>
      <c r="P63" s="40">
        <v>24492.76</v>
      </c>
      <c r="Q63" s="40">
        <f>235117+2198+8210</f>
        <v>245525</v>
      </c>
      <c r="R63" s="40">
        <v>24089</v>
      </c>
      <c r="S63" s="40">
        <f>256398+2163+7907</f>
        <v>266468</v>
      </c>
      <c r="T63" s="21">
        <f t="shared" si="23"/>
        <v>72227.861999999994</v>
      </c>
      <c r="U63" s="22">
        <f t="shared" si="23"/>
        <v>751705</v>
      </c>
      <c r="V63" s="40">
        <v>24293.442999999999</v>
      </c>
      <c r="W63" s="40">
        <f>267317+2162+8618+1245</f>
        <v>279342</v>
      </c>
      <c r="X63" s="40"/>
      <c r="Y63" s="40"/>
      <c r="Z63" s="40"/>
      <c r="AA63" s="40"/>
      <c r="AB63" s="21">
        <f t="shared" si="24"/>
        <v>24293.442999999999</v>
      </c>
      <c r="AC63" s="21">
        <f t="shared" si="24"/>
        <v>279342</v>
      </c>
      <c r="AD63" s="40"/>
      <c r="AE63" s="40"/>
      <c r="AF63" s="40"/>
      <c r="AG63" s="40"/>
      <c r="AH63" s="40"/>
      <c r="AI63" s="40"/>
      <c r="AJ63" s="21">
        <f t="shared" si="25"/>
        <v>0</v>
      </c>
      <c r="AK63" s="21">
        <f t="shared" si="25"/>
        <v>0</v>
      </c>
      <c r="AL63" s="21">
        <f t="shared" si="26"/>
        <v>168850.37899999999</v>
      </c>
      <c r="AM63" s="21">
        <f t="shared" si="26"/>
        <v>1873100</v>
      </c>
      <c r="AN63" s="150"/>
      <c r="AO63" s="150"/>
      <c r="AP63" s="131"/>
      <c r="AQ63" s="171"/>
      <c r="AV63" s="4"/>
    </row>
    <row r="64" spans="1:48" s="57" customFormat="1">
      <c r="A64" s="145"/>
      <c r="B64" s="145">
        <v>17</v>
      </c>
      <c r="C64" s="145"/>
      <c r="D64" s="145" t="s">
        <v>74</v>
      </c>
      <c r="E64" s="39" t="s">
        <v>35</v>
      </c>
      <c r="F64" s="40">
        <v>4015.2910000000002</v>
      </c>
      <c r="G64" s="40">
        <f>243+83+678+25721</f>
        <v>26725</v>
      </c>
      <c r="H64" s="40">
        <v>4603.5060000000003</v>
      </c>
      <c r="I64" s="40">
        <f>34742+534+25+454</f>
        <v>35755</v>
      </c>
      <c r="J64" s="40">
        <v>3911.194</v>
      </c>
      <c r="K64" s="40">
        <f>26006+567+81+180</f>
        <v>26834</v>
      </c>
      <c r="L64" s="21">
        <f t="shared" si="22"/>
        <v>12529.991</v>
      </c>
      <c r="M64" s="21">
        <f t="shared" si="22"/>
        <v>89314</v>
      </c>
      <c r="N64" s="40">
        <v>4966.7860000000001</v>
      </c>
      <c r="O64" s="40">
        <f>32418+766+79+164</f>
        <v>33427</v>
      </c>
      <c r="P64" s="40">
        <v>3129.6179999999999</v>
      </c>
      <c r="Q64" s="40">
        <f>21174+657+106+109</f>
        <v>22046</v>
      </c>
      <c r="R64" s="40">
        <v>3287</v>
      </c>
      <c r="S64" s="40">
        <f>22984+613+92+192</f>
        <v>23881</v>
      </c>
      <c r="T64" s="21">
        <f t="shared" si="23"/>
        <v>11383.404</v>
      </c>
      <c r="U64" s="22">
        <f t="shared" si="23"/>
        <v>79354</v>
      </c>
      <c r="V64" s="40">
        <v>3405.0819999999999</v>
      </c>
      <c r="W64" s="40">
        <f>23512+672+84+160</f>
        <v>24428</v>
      </c>
      <c r="X64" s="40"/>
      <c r="Y64" s="40"/>
      <c r="Z64" s="40"/>
      <c r="AA64" s="40"/>
      <c r="AB64" s="21">
        <f t="shared" si="24"/>
        <v>3405.0819999999999</v>
      </c>
      <c r="AC64" s="21">
        <f t="shared" si="24"/>
        <v>24428</v>
      </c>
      <c r="AD64" s="40"/>
      <c r="AE64" s="40"/>
      <c r="AF64" s="40"/>
      <c r="AG64" s="40"/>
      <c r="AH64" s="40"/>
      <c r="AI64" s="40"/>
      <c r="AJ64" s="21">
        <f t="shared" si="25"/>
        <v>0</v>
      </c>
      <c r="AK64" s="21">
        <f t="shared" si="25"/>
        <v>0</v>
      </c>
      <c r="AL64" s="21">
        <f t="shared" si="26"/>
        <v>27318.476999999999</v>
      </c>
      <c r="AM64" s="21">
        <f t="shared" si="26"/>
        <v>193096</v>
      </c>
      <c r="AN64" s="149">
        <v>476830</v>
      </c>
      <c r="AO64" s="149"/>
      <c r="AP64" s="130"/>
      <c r="AQ64" s="171"/>
      <c r="AV64" s="4"/>
    </row>
    <row r="65" spans="1:48" s="57" customFormat="1">
      <c r="A65" s="145"/>
      <c r="B65" s="145"/>
      <c r="C65" s="145"/>
      <c r="D65" s="145"/>
      <c r="E65" s="39" t="s">
        <v>36</v>
      </c>
      <c r="F65" s="40">
        <v>37888.262999999999</v>
      </c>
      <c r="G65" s="40">
        <f>2048+200880</f>
        <v>202928</v>
      </c>
      <c r="H65" s="40">
        <v>51406.815000000002</v>
      </c>
      <c r="I65" s="40">
        <v>345266</v>
      </c>
      <c r="J65" s="40">
        <v>37770.154000000002</v>
      </c>
      <c r="K65" s="40">
        <f>203553+1939</f>
        <v>205492</v>
      </c>
      <c r="L65" s="21">
        <f t="shared" si="22"/>
        <v>127065.23200000002</v>
      </c>
      <c r="M65" s="21">
        <f t="shared" si="22"/>
        <v>753686</v>
      </c>
      <c r="N65" s="40">
        <v>10187.001</v>
      </c>
      <c r="O65" s="40">
        <f>218442+1988</f>
        <v>220430</v>
      </c>
      <c r="P65" s="40">
        <v>39095.021000000001</v>
      </c>
      <c r="Q65" s="40">
        <f>210504+1983</f>
        <v>212487</v>
      </c>
      <c r="R65" s="40">
        <v>40190</v>
      </c>
      <c r="S65" s="40">
        <f>230124+2035</f>
        <v>232159</v>
      </c>
      <c r="T65" s="21">
        <f t="shared" si="23"/>
        <v>89472.021999999997</v>
      </c>
      <c r="U65" s="22">
        <f t="shared" si="23"/>
        <v>665076</v>
      </c>
      <c r="V65" s="40">
        <v>41009.915999999997</v>
      </c>
      <c r="W65" s="40">
        <f>240048+2050</f>
        <v>242098</v>
      </c>
      <c r="X65" s="40"/>
      <c r="Y65" s="40"/>
      <c r="Z65" s="40"/>
      <c r="AA65" s="40"/>
      <c r="AB65" s="21">
        <f t="shared" si="24"/>
        <v>41009.915999999997</v>
      </c>
      <c r="AC65" s="21">
        <f t="shared" si="24"/>
        <v>242098</v>
      </c>
      <c r="AD65" s="40"/>
      <c r="AE65" s="40"/>
      <c r="AF65" s="40"/>
      <c r="AG65" s="40"/>
      <c r="AH65" s="40"/>
      <c r="AI65" s="40"/>
      <c r="AJ65" s="21">
        <f t="shared" si="25"/>
        <v>0</v>
      </c>
      <c r="AK65" s="21">
        <f t="shared" si="25"/>
        <v>0</v>
      </c>
      <c r="AL65" s="21">
        <f t="shared" si="26"/>
        <v>257547.17</v>
      </c>
      <c r="AM65" s="21">
        <f t="shared" si="26"/>
        <v>1660860</v>
      </c>
      <c r="AN65" s="150"/>
      <c r="AO65" s="150"/>
      <c r="AP65" s="131"/>
      <c r="AQ65" s="171"/>
      <c r="AV65" s="4"/>
    </row>
    <row r="66" spans="1:48" s="57" customFormat="1">
      <c r="A66" s="145"/>
      <c r="B66" s="145">
        <v>18</v>
      </c>
      <c r="C66" s="145"/>
      <c r="D66" s="145" t="s">
        <v>75</v>
      </c>
      <c r="E66" s="39" t="s">
        <v>35</v>
      </c>
      <c r="F66" s="40">
        <v>1018.433</v>
      </c>
      <c r="G66" s="40">
        <f>10+84+571+7967</f>
        <v>8632</v>
      </c>
      <c r="H66" s="40">
        <v>989.53200000000004</v>
      </c>
      <c r="I66" s="40">
        <f>10251+771+32+2</f>
        <v>11056</v>
      </c>
      <c r="J66" s="40">
        <v>983.09</v>
      </c>
      <c r="K66" s="40">
        <f>7996+473+57+1</f>
        <v>8527</v>
      </c>
      <c r="L66" s="21">
        <f t="shared" si="22"/>
        <v>2991.0550000000003</v>
      </c>
      <c r="M66" s="21">
        <f t="shared" si="22"/>
        <v>28215</v>
      </c>
      <c r="N66" s="40">
        <v>902.77</v>
      </c>
      <c r="O66" s="40">
        <f>7554+569+77+35</f>
        <v>8235</v>
      </c>
      <c r="P66" s="40">
        <v>832.53800000000001</v>
      </c>
      <c r="Q66" s="40">
        <f>6918+445+91+7+56</f>
        <v>7517</v>
      </c>
      <c r="R66" s="40">
        <v>765</v>
      </c>
      <c r="S66" s="40">
        <f>6688+483+83+8</f>
        <v>7262</v>
      </c>
      <c r="T66" s="21">
        <f t="shared" si="23"/>
        <v>2500.308</v>
      </c>
      <c r="U66" s="22">
        <f t="shared" si="23"/>
        <v>23014</v>
      </c>
      <c r="V66" s="40">
        <v>765.08500000000004</v>
      </c>
      <c r="W66" s="40">
        <f>6772+59+2</f>
        <v>6833</v>
      </c>
      <c r="X66" s="40"/>
      <c r="Y66" s="40"/>
      <c r="Z66" s="40"/>
      <c r="AA66" s="40"/>
      <c r="AB66" s="21">
        <f t="shared" si="24"/>
        <v>765.08500000000004</v>
      </c>
      <c r="AC66" s="21">
        <f t="shared" si="24"/>
        <v>6833</v>
      </c>
      <c r="AD66" s="21"/>
      <c r="AE66" s="40"/>
      <c r="AF66" s="40"/>
      <c r="AG66" s="40"/>
      <c r="AH66" s="40"/>
      <c r="AI66" s="40"/>
      <c r="AJ66" s="21">
        <f t="shared" si="25"/>
        <v>0</v>
      </c>
      <c r="AK66" s="21">
        <f t="shared" si="25"/>
        <v>0</v>
      </c>
      <c r="AL66" s="21">
        <f t="shared" si="26"/>
        <v>6256.4480000000003</v>
      </c>
      <c r="AM66" s="21">
        <f t="shared" si="26"/>
        <v>58062</v>
      </c>
      <c r="AN66" s="149">
        <v>330110</v>
      </c>
      <c r="AO66" s="149"/>
      <c r="AP66" s="130"/>
      <c r="AQ66" s="171"/>
      <c r="AV66" s="4"/>
    </row>
    <row r="67" spans="1:48" s="57" customFormat="1">
      <c r="A67" s="145"/>
      <c r="B67" s="145"/>
      <c r="C67" s="145"/>
      <c r="D67" s="145"/>
      <c r="E67" s="39" t="s">
        <v>36</v>
      </c>
      <c r="F67" s="40">
        <v>16855.435000000001</v>
      </c>
      <c r="G67" s="40">
        <f>1093+157720</f>
        <v>158813</v>
      </c>
      <c r="H67" s="40">
        <v>21659.703000000001</v>
      </c>
      <c r="I67" s="40">
        <f>201843+1321</f>
        <v>203164</v>
      </c>
      <c r="J67" s="40">
        <v>16364.284</v>
      </c>
      <c r="K67" s="40">
        <f>104037+1411</f>
        <v>105448</v>
      </c>
      <c r="L67" s="21">
        <f t="shared" si="22"/>
        <v>54879.422000000006</v>
      </c>
      <c r="M67" s="21">
        <f t="shared" si="22"/>
        <v>467425</v>
      </c>
      <c r="N67" s="40">
        <v>16537.400000000001</v>
      </c>
      <c r="O67" s="40">
        <f>105290+1397</f>
        <v>106687</v>
      </c>
      <c r="P67" s="40">
        <v>16918.466</v>
      </c>
      <c r="Q67" s="40">
        <f>107206+1335</f>
        <v>108541</v>
      </c>
      <c r="R67" s="40">
        <v>16650</v>
      </c>
      <c r="S67" s="40">
        <f>114931+1345</f>
        <v>116276</v>
      </c>
      <c r="T67" s="21">
        <f t="shared" si="23"/>
        <v>50105.866000000002</v>
      </c>
      <c r="U67" s="22">
        <f t="shared" si="23"/>
        <v>331504</v>
      </c>
      <c r="V67" s="40">
        <v>16562.667000000001</v>
      </c>
      <c r="W67" s="40">
        <f>117102+1281</f>
        <v>118383</v>
      </c>
      <c r="X67" s="40"/>
      <c r="Y67" s="40"/>
      <c r="Z67" s="40"/>
      <c r="AA67" s="40"/>
      <c r="AB67" s="21">
        <f t="shared" si="24"/>
        <v>16562.667000000001</v>
      </c>
      <c r="AC67" s="21">
        <f t="shared" si="24"/>
        <v>118383</v>
      </c>
      <c r="AD67" s="21"/>
      <c r="AE67" s="40"/>
      <c r="AF67" s="40"/>
      <c r="AG67" s="40"/>
      <c r="AH67" s="40"/>
      <c r="AI67" s="40"/>
      <c r="AJ67" s="21">
        <f t="shared" si="25"/>
        <v>0</v>
      </c>
      <c r="AK67" s="21">
        <f t="shared" si="25"/>
        <v>0</v>
      </c>
      <c r="AL67" s="21">
        <f t="shared" si="26"/>
        <v>121547.955</v>
      </c>
      <c r="AM67" s="21">
        <f>M67+U67+AC67+AK67</f>
        <v>917312</v>
      </c>
      <c r="AN67" s="150"/>
      <c r="AO67" s="150"/>
      <c r="AP67" s="131"/>
      <c r="AQ67" s="171"/>
      <c r="AV67" s="4"/>
    </row>
    <row r="68" spans="1:48" s="35" customFormat="1" ht="31.5" customHeight="1">
      <c r="A68" s="145"/>
      <c r="B68" s="19"/>
      <c r="C68" s="19"/>
      <c r="D68" s="19" t="s">
        <v>76</v>
      </c>
      <c r="E68" s="39"/>
      <c r="F68" s="22">
        <f>F45</f>
        <v>22961.601999999999</v>
      </c>
      <c r="G68" s="22">
        <f t="shared" ref="G68:S68" si="27">G45</f>
        <v>0</v>
      </c>
      <c r="H68" s="22">
        <f t="shared" si="27"/>
        <v>21550.260999999999</v>
      </c>
      <c r="I68" s="22">
        <f t="shared" si="27"/>
        <v>0</v>
      </c>
      <c r="J68" s="22">
        <f t="shared" si="27"/>
        <v>26366.328000000001</v>
      </c>
      <c r="K68" s="22">
        <f t="shared" si="27"/>
        <v>0</v>
      </c>
      <c r="L68" s="22">
        <f t="shared" si="27"/>
        <v>70878.190999999992</v>
      </c>
      <c r="M68" s="22">
        <f t="shared" si="27"/>
        <v>0</v>
      </c>
      <c r="N68" s="22">
        <f t="shared" si="27"/>
        <v>30264.464</v>
      </c>
      <c r="O68" s="22">
        <f t="shared" si="27"/>
        <v>0</v>
      </c>
      <c r="P68" s="22">
        <f t="shared" si="27"/>
        <v>29477.863000000001</v>
      </c>
      <c r="Q68" s="22">
        <f t="shared" si="27"/>
        <v>0</v>
      </c>
      <c r="R68" s="22">
        <f t="shared" si="27"/>
        <v>30997.774000000001</v>
      </c>
      <c r="S68" s="22">
        <f t="shared" si="27"/>
        <v>0</v>
      </c>
      <c r="T68" s="21">
        <f t="shared" si="23"/>
        <v>90740.10100000001</v>
      </c>
      <c r="U68" s="22"/>
      <c r="V68" s="22">
        <f t="shared" ref="V68:W68" si="28">V45</f>
        <v>32385.695</v>
      </c>
      <c r="W68" s="22">
        <f t="shared" si="28"/>
        <v>0</v>
      </c>
      <c r="X68" s="40"/>
      <c r="Y68" s="40"/>
      <c r="Z68" s="40"/>
      <c r="AA68" s="40"/>
      <c r="AB68" s="21">
        <f>V68+X68+Z68</f>
        <v>32385.695</v>
      </c>
      <c r="AC68" s="21"/>
      <c r="AD68" s="40"/>
      <c r="AE68" s="40"/>
      <c r="AF68" s="40"/>
      <c r="AG68" s="40"/>
      <c r="AH68" s="40"/>
      <c r="AI68" s="40"/>
      <c r="AJ68" s="21">
        <f>AD68+AF68+AH68</f>
        <v>0</v>
      </c>
      <c r="AK68" s="21"/>
      <c r="AL68" s="21">
        <f>L68+T68+AB68+AJ68</f>
        <v>194003.98700000002</v>
      </c>
      <c r="AM68" s="21"/>
      <c r="AN68" s="23">
        <v>476830</v>
      </c>
      <c r="AO68" s="21"/>
      <c r="AP68" s="76"/>
      <c r="AQ68" s="133"/>
      <c r="AV68" s="4"/>
    </row>
    <row r="69" spans="1:48" s="63" customFormat="1" ht="15" customHeight="1">
      <c r="A69" s="146"/>
      <c r="B69" s="25"/>
      <c r="C69" s="25" t="s">
        <v>37</v>
      </c>
      <c r="D69" s="25"/>
      <c r="E69" s="71"/>
      <c r="F69" s="51">
        <f>SUM(F62:F68)</f>
        <v>106285.012</v>
      </c>
      <c r="G69" s="51">
        <f t="shared" ref="G69:AK69" si="29">SUM(G62:G68)</f>
        <v>670003</v>
      </c>
      <c r="H69" s="51">
        <f t="shared" si="29"/>
        <v>128328.94500000001</v>
      </c>
      <c r="I69" s="51">
        <f t="shared" si="29"/>
        <v>1012785</v>
      </c>
      <c r="J69" s="51">
        <f t="shared" si="29"/>
        <v>111424.66200000001</v>
      </c>
      <c r="K69" s="51">
        <f t="shared" si="29"/>
        <v>624382</v>
      </c>
      <c r="L69" s="51">
        <f t="shared" si="29"/>
        <v>346038.61900000001</v>
      </c>
      <c r="M69" s="51">
        <f t="shared" si="29"/>
        <v>2307170</v>
      </c>
      <c r="N69" s="51">
        <f t="shared" si="29"/>
        <v>89257.31</v>
      </c>
      <c r="O69" s="51">
        <f t="shared" si="29"/>
        <v>650893</v>
      </c>
      <c r="P69" s="51">
        <f t="shared" si="29"/>
        <v>116671.64599999999</v>
      </c>
      <c r="Q69" s="51">
        <f t="shared" si="29"/>
        <v>635941</v>
      </c>
      <c r="R69" s="51">
        <f>SUM(R62:R68)</f>
        <v>118576.774</v>
      </c>
      <c r="S69" s="51">
        <f t="shared" si="29"/>
        <v>686213</v>
      </c>
      <c r="T69" s="51">
        <f t="shared" si="29"/>
        <v>324505.73</v>
      </c>
      <c r="U69" s="51">
        <f t="shared" si="29"/>
        <v>1973047</v>
      </c>
      <c r="V69" s="51">
        <f t="shared" si="29"/>
        <v>121076.82500000001</v>
      </c>
      <c r="W69" s="51">
        <f t="shared" si="29"/>
        <v>713804</v>
      </c>
      <c r="X69" s="51">
        <f>SUM(X62:X68)</f>
        <v>0</v>
      </c>
      <c r="Y69" s="51">
        <f t="shared" si="29"/>
        <v>0</v>
      </c>
      <c r="Z69" s="51">
        <f t="shared" si="29"/>
        <v>0</v>
      </c>
      <c r="AA69" s="51">
        <f t="shared" si="29"/>
        <v>0</v>
      </c>
      <c r="AB69" s="51">
        <f t="shared" si="29"/>
        <v>121076.82500000001</v>
      </c>
      <c r="AC69" s="51">
        <f t="shared" si="29"/>
        <v>1512800</v>
      </c>
      <c r="AD69" s="51">
        <f t="shared" si="29"/>
        <v>0</v>
      </c>
      <c r="AE69" s="51">
        <f t="shared" si="29"/>
        <v>0</v>
      </c>
      <c r="AF69" s="51">
        <f t="shared" si="29"/>
        <v>0</v>
      </c>
      <c r="AG69" s="51">
        <f t="shared" si="29"/>
        <v>0</v>
      </c>
      <c r="AH69" s="51">
        <f t="shared" si="29"/>
        <v>0</v>
      </c>
      <c r="AI69" s="51">
        <f t="shared" si="29"/>
        <v>0</v>
      </c>
      <c r="AJ69" s="51">
        <f t="shared" si="29"/>
        <v>0</v>
      </c>
      <c r="AK69" s="51">
        <f t="shared" si="29"/>
        <v>0</v>
      </c>
      <c r="AL69" s="51">
        <f>SUM(AL62:AL68)</f>
        <v>791621.17399999988</v>
      </c>
      <c r="AM69" s="51">
        <f>SUM(AM62:AM68)</f>
        <v>5793017</v>
      </c>
      <c r="AN69" s="27">
        <f>SUM(AN62:AN68)</f>
        <v>1660400</v>
      </c>
      <c r="AO69" s="27">
        <f>AN69/12*$AO$8</f>
        <v>553466.66666666663</v>
      </c>
      <c r="AP69" s="28">
        <f>AL69/AO69</f>
        <v>1.4302960262587328</v>
      </c>
      <c r="AQ69" s="26"/>
      <c r="AV69" s="30"/>
    </row>
    <row r="70" spans="1:48" s="57" customFormat="1" ht="21.75" customHeight="1">
      <c r="A70" s="134">
        <f>+A62+1</f>
        <v>18</v>
      </c>
      <c r="B70" s="134">
        <v>19</v>
      </c>
      <c r="C70" s="134" t="s">
        <v>77</v>
      </c>
      <c r="D70" s="134" t="s">
        <v>78</v>
      </c>
      <c r="E70" s="55" t="s">
        <v>35</v>
      </c>
      <c r="F70" s="56">
        <v>5133.2389999999996</v>
      </c>
      <c r="G70" s="56">
        <f>14994+77258</f>
        <v>92252</v>
      </c>
      <c r="H70" s="56">
        <v>4968.1049999999996</v>
      </c>
      <c r="I70" s="56">
        <f>14849+90328</f>
        <v>105177</v>
      </c>
      <c r="J70" s="56">
        <v>5118.0320000000002</v>
      </c>
      <c r="K70" s="33">
        <f>13699+77763</f>
        <v>91462</v>
      </c>
      <c r="L70" s="83">
        <f>F70+H70+J70</f>
        <v>15219.376</v>
      </c>
      <c r="M70" s="83">
        <f>G70+I70+K70</f>
        <v>288891</v>
      </c>
      <c r="N70" s="56">
        <v>4905.8440000000001</v>
      </c>
      <c r="O70" s="56">
        <f>12557+77747</f>
        <v>90304</v>
      </c>
      <c r="P70" s="56">
        <v>4327.6549999999997</v>
      </c>
      <c r="Q70" s="56">
        <f>12267+69765</f>
        <v>82032</v>
      </c>
      <c r="R70" s="56">
        <v>4388.665</v>
      </c>
      <c r="S70" s="56">
        <f>11994+75062</f>
        <v>87056</v>
      </c>
      <c r="T70" s="83">
        <f>N70+P70+R70</f>
        <v>13622.164000000001</v>
      </c>
      <c r="U70" s="56">
        <f>O70+Q70+S70</f>
        <v>259392</v>
      </c>
      <c r="V70" s="56">
        <v>4343</v>
      </c>
      <c r="W70" s="56">
        <f>72261+12494</f>
        <v>84755</v>
      </c>
      <c r="X70" s="56"/>
      <c r="Y70" s="56"/>
      <c r="Z70" s="56"/>
      <c r="AA70" s="56"/>
      <c r="AB70" s="83">
        <f>V70+X70+Z70</f>
        <v>4343</v>
      </c>
      <c r="AC70" s="83">
        <f>W70+Y70+AA70</f>
        <v>84755</v>
      </c>
      <c r="AD70" s="56"/>
      <c r="AE70" s="56"/>
      <c r="AF70" s="56"/>
      <c r="AG70" s="56"/>
      <c r="AH70" s="56"/>
      <c r="AI70" s="56"/>
      <c r="AJ70" s="83">
        <f>AD70+AF70+AH70</f>
        <v>0</v>
      </c>
      <c r="AK70" s="83">
        <f>AE70+AG70+AI70</f>
        <v>0</v>
      </c>
      <c r="AL70" s="83">
        <f>L70+T70+AB70+AJ70</f>
        <v>33184.54</v>
      </c>
      <c r="AM70" s="83">
        <f>M70+U70+AC70+AK70</f>
        <v>633038</v>
      </c>
      <c r="AN70" s="136"/>
      <c r="AO70" s="136"/>
      <c r="AP70" s="191"/>
      <c r="AQ70" s="139"/>
      <c r="AV70" s="4"/>
    </row>
    <row r="71" spans="1:48" s="57" customFormat="1" ht="45" customHeight="1">
      <c r="A71" s="134"/>
      <c r="B71" s="134"/>
      <c r="C71" s="134"/>
      <c r="D71" s="134"/>
      <c r="E71" s="55" t="s">
        <v>36</v>
      </c>
      <c r="F71" s="56">
        <v>28338.588</v>
      </c>
      <c r="G71" s="56">
        <f>65252+317706</f>
        <v>382958</v>
      </c>
      <c r="H71" s="56">
        <v>31497.804</v>
      </c>
      <c r="I71" s="56">
        <f>66581+474368</f>
        <v>540949</v>
      </c>
      <c r="J71" s="56">
        <v>29088.628000000001</v>
      </c>
      <c r="K71" s="33">
        <f>69610+331319</f>
        <v>400929</v>
      </c>
      <c r="L71" s="83">
        <f>F71+H71+J71</f>
        <v>88925.02</v>
      </c>
      <c r="M71" s="83">
        <f>G71+I71+K71</f>
        <v>1324836</v>
      </c>
      <c r="N71" s="56">
        <v>29053.224999999999</v>
      </c>
      <c r="O71" s="56">
        <f>69837+336925</f>
        <v>406762</v>
      </c>
      <c r="P71" s="56">
        <v>29741.401000000002</v>
      </c>
      <c r="Q71" s="56">
        <f>71589+332233</f>
        <v>403822</v>
      </c>
      <c r="R71" s="56">
        <v>29911.814999999999</v>
      </c>
      <c r="S71" s="56">
        <f>70895+364665</f>
        <v>435560</v>
      </c>
      <c r="T71" s="83">
        <f>N71+P71+R71</f>
        <v>88706.441000000006</v>
      </c>
      <c r="U71" s="56">
        <f>O71+Q71+S71</f>
        <v>1246144</v>
      </c>
      <c r="V71" s="56">
        <v>29821</v>
      </c>
      <c r="W71" s="56">
        <f>73297+374450</f>
        <v>447747</v>
      </c>
      <c r="X71" s="56"/>
      <c r="Y71" s="56"/>
      <c r="Z71" s="56"/>
      <c r="AA71" s="56"/>
      <c r="AB71" s="83">
        <f>V71+X71+Z71</f>
        <v>29821</v>
      </c>
      <c r="AC71" s="83">
        <f>W71+Y71+AA71</f>
        <v>447747</v>
      </c>
      <c r="AD71" s="56"/>
      <c r="AE71" s="56"/>
      <c r="AF71" s="56"/>
      <c r="AG71" s="56"/>
      <c r="AH71" s="56"/>
      <c r="AI71" s="56"/>
      <c r="AJ71" s="83">
        <f>AD71+AF71+AH71</f>
        <v>0</v>
      </c>
      <c r="AK71" s="83">
        <f>AE71+AG71+AI71</f>
        <v>0</v>
      </c>
      <c r="AL71" s="83">
        <f>L71+T71+AB71+AJ71</f>
        <v>207452.46100000001</v>
      </c>
      <c r="AM71" s="83">
        <f>M71+U71+AC71+AK71</f>
        <v>3018727</v>
      </c>
      <c r="AN71" s="138"/>
      <c r="AO71" s="138"/>
      <c r="AP71" s="192"/>
      <c r="AQ71" s="141"/>
      <c r="AV71" s="4"/>
    </row>
    <row r="72" spans="1:48" s="63" customFormat="1" ht="14.25" customHeight="1">
      <c r="A72" s="135"/>
      <c r="B72" s="135"/>
      <c r="C72" s="59" t="s">
        <v>37</v>
      </c>
      <c r="D72" s="59"/>
      <c r="E72" s="60"/>
      <c r="F72" s="60">
        <f t="shared" ref="F72:R72" si="30">SUM(F70:F71)</f>
        <v>33471.826999999997</v>
      </c>
      <c r="G72" s="60">
        <f t="shared" si="30"/>
        <v>475210</v>
      </c>
      <c r="H72" s="60">
        <f t="shared" si="30"/>
        <v>36465.909</v>
      </c>
      <c r="I72" s="60">
        <f t="shared" si="30"/>
        <v>646126</v>
      </c>
      <c r="J72" s="60">
        <f t="shared" si="30"/>
        <v>34206.660000000003</v>
      </c>
      <c r="K72" s="60">
        <f t="shared" si="30"/>
        <v>492391</v>
      </c>
      <c r="L72" s="60">
        <f t="shared" si="30"/>
        <v>104144.39600000001</v>
      </c>
      <c r="M72" s="60">
        <f t="shared" si="30"/>
        <v>1613727</v>
      </c>
      <c r="N72" s="60">
        <f t="shared" si="30"/>
        <v>33959.068999999996</v>
      </c>
      <c r="O72" s="60">
        <f t="shared" si="30"/>
        <v>497066</v>
      </c>
      <c r="P72" s="60">
        <f t="shared" si="30"/>
        <v>34069.056000000004</v>
      </c>
      <c r="Q72" s="60">
        <f t="shared" si="30"/>
        <v>485854</v>
      </c>
      <c r="R72" s="60">
        <f t="shared" si="30"/>
        <v>34300.479999999996</v>
      </c>
      <c r="S72" s="60">
        <f>SUM(S70:S71)</f>
        <v>522616</v>
      </c>
      <c r="T72" s="60">
        <f t="shared" ref="T72:AM72" si="31">SUM(T70:T71)</f>
        <v>102328.60500000001</v>
      </c>
      <c r="U72" s="60">
        <f t="shared" si="31"/>
        <v>1505536</v>
      </c>
      <c r="V72" s="62">
        <f t="shared" si="31"/>
        <v>34164</v>
      </c>
      <c r="W72" s="62">
        <f t="shared" si="31"/>
        <v>532502</v>
      </c>
      <c r="X72" s="60">
        <f t="shared" si="31"/>
        <v>0</v>
      </c>
      <c r="Y72" s="60">
        <f t="shared" si="31"/>
        <v>0</v>
      </c>
      <c r="Z72" s="60">
        <f t="shared" si="31"/>
        <v>0</v>
      </c>
      <c r="AA72" s="60">
        <f t="shared" si="31"/>
        <v>0</v>
      </c>
      <c r="AB72" s="60">
        <f t="shared" si="31"/>
        <v>34164</v>
      </c>
      <c r="AC72" s="60">
        <f t="shared" si="31"/>
        <v>532502</v>
      </c>
      <c r="AD72" s="60">
        <f t="shared" si="31"/>
        <v>0</v>
      </c>
      <c r="AE72" s="60">
        <f t="shared" si="31"/>
        <v>0</v>
      </c>
      <c r="AF72" s="60">
        <f t="shared" si="31"/>
        <v>0</v>
      </c>
      <c r="AG72" s="60">
        <f t="shared" si="31"/>
        <v>0</v>
      </c>
      <c r="AH72" s="60">
        <f t="shared" si="31"/>
        <v>0</v>
      </c>
      <c r="AI72" s="60">
        <f t="shared" si="31"/>
        <v>0</v>
      </c>
      <c r="AJ72" s="60">
        <f t="shared" si="31"/>
        <v>0</v>
      </c>
      <c r="AK72" s="60">
        <f t="shared" si="31"/>
        <v>0</v>
      </c>
      <c r="AL72" s="60">
        <f t="shared" si="31"/>
        <v>240637.00100000002</v>
      </c>
      <c r="AM72" s="60">
        <f t="shared" si="31"/>
        <v>3651765</v>
      </c>
      <c r="AN72" s="27">
        <v>563537</v>
      </c>
      <c r="AO72" s="27">
        <f>AN72/12*$AO$8</f>
        <v>187845.66666666666</v>
      </c>
      <c r="AP72" s="28">
        <f>AL72/AO72</f>
        <v>1.2810356782252099</v>
      </c>
      <c r="AQ72" s="62"/>
      <c r="AV72" s="30"/>
    </row>
    <row r="73" spans="1:48" s="57" customFormat="1" ht="39.75" customHeight="1">
      <c r="A73" s="145">
        <f>+A70+1</f>
        <v>19</v>
      </c>
      <c r="B73" s="145">
        <f>+B70+1</f>
        <v>20</v>
      </c>
      <c r="C73" s="145" t="s">
        <v>79</v>
      </c>
      <c r="D73" s="145" t="s">
        <v>80</v>
      </c>
      <c r="E73" s="39" t="s">
        <v>35</v>
      </c>
      <c r="F73" s="22">
        <v>2265.1779999999999</v>
      </c>
      <c r="G73" s="22">
        <v>297569</v>
      </c>
      <c r="H73" s="22">
        <v>1929.319</v>
      </c>
      <c r="I73" s="22">
        <v>39768</v>
      </c>
      <c r="J73" s="22">
        <v>2145.4430000000002</v>
      </c>
      <c r="K73" s="22">
        <v>37959</v>
      </c>
      <c r="L73" s="21">
        <f>F73+H73+J73</f>
        <v>6339.94</v>
      </c>
      <c r="M73" s="21">
        <f>G73+I73+K73</f>
        <v>375296</v>
      </c>
      <c r="N73" s="22">
        <v>1954.6669999999999</v>
      </c>
      <c r="O73" s="22">
        <f>33456+1957</f>
        <v>35413</v>
      </c>
      <c r="P73" s="22">
        <v>1399.4570000000001</v>
      </c>
      <c r="Q73" s="22">
        <v>26357</v>
      </c>
      <c r="R73" s="22">
        <v>1594.0050000000001</v>
      </c>
      <c r="S73" s="22">
        <v>29383</v>
      </c>
      <c r="T73" s="21">
        <f>N73+P73+R73</f>
        <v>4948.1289999999999</v>
      </c>
      <c r="U73" s="22">
        <f>O73+Q73+S73</f>
        <v>91153</v>
      </c>
      <c r="V73" s="22">
        <v>2000.4880000000001</v>
      </c>
      <c r="W73" s="22">
        <v>30345</v>
      </c>
      <c r="X73" s="22"/>
      <c r="Y73" s="40"/>
      <c r="Z73" s="22"/>
      <c r="AA73" s="22"/>
      <c r="AB73" s="21">
        <f>V73+X73+Z73</f>
        <v>2000.4880000000001</v>
      </c>
      <c r="AC73" s="41">
        <f>W73+Y73+AA73</f>
        <v>30345</v>
      </c>
      <c r="AD73" s="22"/>
      <c r="AE73" s="22"/>
      <c r="AF73" s="22"/>
      <c r="AG73" s="22"/>
      <c r="AH73" s="22"/>
      <c r="AI73" s="22"/>
      <c r="AJ73" s="21">
        <f>AD73+AF73+AH73</f>
        <v>0</v>
      </c>
      <c r="AK73" s="21">
        <f>AE73+AG73+AI73</f>
        <v>0</v>
      </c>
      <c r="AL73" s="21">
        <f>L73+T73+AB73+AJ73</f>
        <v>13288.556999999999</v>
      </c>
      <c r="AM73" s="21">
        <f>M73+U73+AC73+AK73</f>
        <v>496794</v>
      </c>
      <c r="AN73" s="149"/>
      <c r="AO73" s="149"/>
      <c r="AP73" s="189"/>
      <c r="AQ73" s="132"/>
      <c r="AV73" s="4"/>
    </row>
    <row r="74" spans="1:48" s="57" customFormat="1" ht="39.75" customHeight="1">
      <c r="A74" s="145"/>
      <c r="B74" s="145"/>
      <c r="C74" s="145"/>
      <c r="D74" s="145"/>
      <c r="E74" s="39" t="s">
        <v>36</v>
      </c>
      <c r="F74" s="22">
        <v>24071.851999999999</v>
      </c>
      <c r="G74" s="22">
        <v>39199</v>
      </c>
      <c r="H74" s="22">
        <v>26036.956999999999</v>
      </c>
      <c r="I74" s="22">
        <v>449538</v>
      </c>
      <c r="J74" s="22">
        <v>24405.567999999999</v>
      </c>
      <c r="K74" s="22">
        <v>305653</v>
      </c>
      <c r="L74" s="21">
        <f>F74+H74+J74</f>
        <v>74514.376999999993</v>
      </c>
      <c r="M74" s="21">
        <f>G74+I74+K74</f>
        <v>794390</v>
      </c>
      <c r="N74" s="22">
        <v>22108.157999999999</v>
      </c>
      <c r="O74" s="22">
        <f>279986+1068</f>
        <v>281054</v>
      </c>
      <c r="P74" s="22">
        <v>8409.9349999999995</v>
      </c>
      <c r="Q74" s="22">
        <v>128741</v>
      </c>
      <c r="R74" s="22">
        <v>12706.656000000001</v>
      </c>
      <c r="S74" s="22">
        <v>174177</v>
      </c>
      <c r="T74" s="21">
        <f>N74+P74+R74</f>
        <v>43224.749000000003</v>
      </c>
      <c r="U74" s="22">
        <f>O74+Q74+S74</f>
        <v>583972</v>
      </c>
      <c r="V74" s="22">
        <v>14571.69</v>
      </c>
      <c r="W74" s="22">
        <v>180422</v>
      </c>
      <c r="X74" s="22"/>
      <c r="Y74" s="40"/>
      <c r="Z74" s="22"/>
      <c r="AA74" s="22"/>
      <c r="AB74" s="21">
        <f>V74+X74+Z74</f>
        <v>14571.69</v>
      </c>
      <c r="AC74" s="41">
        <f>W74+Y74+AA74</f>
        <v>180422</v>
      </c>
      <c r="AD74" s="22"/>
      <c r="AE74" s="22"/>
      <c r="AF74" s="22"/>
      <c r="AG74" s="22"/>
      <c r="AH74" s="22"/>
      <c r="AI74" s="22"/>
      <c r="AJ74" s="21">
        <f>AD74+AF74+AH74</f>
        <v>0</v>
      </c>
      <c r="AK74" s="21">
        <f>AE74+AG74+AI74</f>
        <v>0</v>
      </c>
      <c r="AL74" s="21">
        <f>L74+T74+AB74+AJ74</f>
        <v>132310.81599999999</v>
      </c>
      <c r="AM74" s="21">
        <f>M74+U74+AC74+AK74</f>
        <v>1558784</v>
      </c>
      <c r="AN74" s="150"/>
      <c r="AO74" s="150"/>
      <c r="AP74" s="190"/>
      <c r="AQ74" s="133"/>
      <c r="AV74" s="4"/>
    </row>
    <row r="75" spans="1:48" s="63" customFormat="1" ht="13.5" customHeight="1">
      <c r="A75" s="146"/>
      <c r="B75" s="146"/>
      <c r="C75" s="25" t="s">
        <v>37</v>
      </c>
      <c r="D75" s="25"/>
      <c r="E75" s="71"/>
      <c r="F75" s="71">
        <f t="shared" ref="F75:AM75" si="32">SUM(F73:F74)</f>
        <v>26337.03</v>
      </c>
      <c r="G75" s="71">
        <f t="shared" si="32"/>
        <v>336768</v>
      </c>
      <c r="H75" s="71">
        <f t="shared" si="32"/>
        <v>27966.275999999998</v>
      </c>
      <c r="I75" s="71">
        <f t="shared" si="32"/>
        <v>489306</v>
      </c>
      <c r="J75" s="71">
        <f t="shared" si="32"/>
        <v>26551.010999999999</v>
      </c>
      <c r="K75" s="71">
        <f t="shared" si="32"/>
        <v>343612</v>
      </c>
      <c r="L75" s="71">
        <f t="shared" si="32"/>
        <v>80854.316999999995</v>
      </c>
      <c r="M75" s="71">
        <f t="shared" si="32"/>
        <v>1169686</v>
      </c>
      <c r="N75" s="71">
        <f t="shared" si="32"/>
        <v>24062.825000000001</v>
      </c>
      <c r="O75" s="71">
        <f t="shared" si="32"/>
        <v>316467</v>
      </c>
      <c r="P75" s="71">
        <f t="shared" si="32"/>
        <v>9809.3919999999998</v>
      </c>
      <c r="Q75" s="71">
        <f t="shared" si="32"/>
        <v>155098</v>
      </c>
      <c r="R75" s="71">
        <f t="shared" si="32"/>
        <v>14300.661</v>
      </c>
      <c r="S75" s="71">
        <f t="shared" si="32"/>
        <v>203560</v>
      </c>
      <c r="T75" s="71">
        <f t="shared" si="32"/>
        <v>48172.878000000004</v>
      </c>
      <c r="U75" s="71">
        <f t="shared" si="32"/>
        <v>675125</v>
      </c>
      <c r="V75" s="71">
        <f t="shared" si="32"/>
        <v>16572.178</v>
      </c>
      <c r="W75" s="71">
        <f t="shared" si="32"/>
        <v>210767</v>
      </c>
      <c r="X75" s="71">
        <f t="shared" si="32"/>
        <v>0</v>
      </c>
      <c r="Y75" s="71">
        <f t="shared" si="32"/>
        <v>0</v>
      </c>
      <c r="Z75" s="71">
        <f t="shared" si="32"/>
        <v>0</v>
      </c>
      <c r="AA75" s="71">
        <f t="shared" si="32"/>
        <v>0</v>
      </c>
      <c r="AB75" s="71">
        <f t="shared" si="32"/>
        <v>16572.178</v>
      </c>
      <c r="AC75" s="71">
        <f t="shared" si="32"/>
        <v>210767</v>
      </c>
      <c r="AD75" s="71">
        <f t="shared" si="32"/>
        <v>0</v>
      </c>
      <c r="AE75" s="71">
        <f t="shared" si="32"/>
        <v>0</v>
      </c>
      <c r="AF75" s="71">
        <f t="shared" si="32"/>
        <v>0</v>
      </c>
      <c r="AG75" s="71">
        <f t="shared" si="32"/>
        <v>0</v>
      </c>
      <c r="AH75" s="71">
        <f t="shared" si="32"/>
        <v>0</v>
      </c>
      <c r="AI75" s="71">
        <f t="shared" si="32"/>
        <v>0</v>
      </c>
      <c r="AJ75" s="71">
        <f t="shared" si="32"/>
        <v>0</v>
      </c>
      <c r="AK75" s="71">
        <f t="shared" si="32"/>
        <v>0</v>
      </c>
      <c r="AL75" s="71">
        <f t="shared" si="32"/>
        <v>145599.37299999999</v>
      </c>
      <c r="AM75" s="71">
        <f t="shared" si="32"/>
        <v>2055578</v>
      </c>
      <c r="AN75" s="27">
        <v>562979</v>
      </c>
      <c r="AO75" s="27">
        <f>AN75/12*$AO$8</f>
        <v>187659.66666666666</v>
      </c>
      <c r="AP75" s="28">
        <f>AL75/AO75</f>
        <v>0.77586929352604628</v>
      </c>
      <c r="AQ75" s="26"/>
      <c r="AV75" s="30"/>
    </row>
    <row r="76" spans="1:48" s="57" customFormat="1" ht="26.25" customHeight="1">
      <c r="A76" s="145">
        <f>A73+1</f>
        <v>20</v>
      </c>
      <c r="B76" s="145">
        <v>21</v>
      </c>
      <c r="C76" s="145" t="s">
        <v>81</v>
      </c>
      <c r="D76" s="175" t="s">
        <v>82</v>
      </c>
      <c r="E76" s="39" t="s">
        <v>35</v>
      </c>
      <c r="F76" s="40">
        <v>2278.674</v>
      </c>
      <c r="G76" s="47">
        <v>35930</v>
      </c>
      <c r="H76" s="40">
        <v>1890.7049999999999</v>
      </c>
      <c r="I76" s="47">
        <v>34544</v>
      </c>
      <c r="J76" s="44">
        <v>2212.8240000000001</v>
      </c>
      <c r="K76" s="47">
        <v>34006</v>
      </c>
      <c r="L76" s="48">
        <f>F76+H76+J76</f>
        <v>6382.2029999999995</v>
      </c>
      <c r="M76" s="48">
        <f>G76+I76+K76</f>
        <v>104480</v>
      </c>
      <c r="N76" s="40">
        <v>2176.183</v>
      </c>
      <c r="O76" s="40">
        <v>32295</v>
      </c>
      <c r="P76" s="40">
        <v>1347.539</v>
      </c>
      <c r="Q76" s="40">
        <v>22618</v>
      </c>
      <c r="R76" s="40">
        <v>1546.6869999999999</v>
      </c>
      <c r="S76" s="40">
        <v>24360</v>
      </c>
      <c r="T76" s="21">
        <f>N76+P76+R76</f>
        <v>5070.4089999999997</v>
      </c>
      <c r="U76" s="22">
        <f>O76+Q76+S76</f>
        <v>79273</v>
      </c>
      <c r="V76" s="47">
        <v>1566.002</v>
      </c>
      <c r="W76" s="47">
        <v>25400</v>
      </c>
      <c r="X76" s="163"/>
      <c r="Y76" s="165"/>
      <c r="Z76" s="163"/>
      <c r="AA76" s="165"/>
      <c r="AB76" s="40">
        <f>V76+X76+Z76</f>
        <v>1566.002</v>
      </c>
      <c r="AC76" s="40">
        <f>W76+Y76+AA76</f>
        <v>25400</v>
      </c>
      <c r="AD76" s="163"/>
      <c r="AE76" s="165"/>
      <c r="AF76" s="163"/>
      <c r="AG76" s="165"/>
      <c r="AH76" s="163"/>
      <c r="AI76" s="165"/>
      <c r="AJ76" s="183">
        <f>AD76+AF76+AH76</f>
        <v>0</v>
      </c>
      <c r="AK76" s="165"/>
      <c r="AL76" s="40">
        <f>L76+T76+AB76+AJ76</f>
        <v>13018.614</v>
      </c>
      <c r="AM76" s="40">
        <f>M76+U76+AC76+AK76</f>
        <v>209153</v>
      </c>
      <c r="AN76" s="163"/>
      <c r="AO76" s="163"/>
      <c r="AP76" s="187"/>
      <c r="AQ76" s="165"/>
      <c r="AV76" s="4"/>
    </row>
    <row r="77" spans="1:48" s="57" customFormat="1" ht="29.25" customHeight="1">
      <c r="A77" s="145"/>
      <c r="B77" s="145"/>
      <c r="C77" s="145"/>
      <c r="D77" s="176"/>
      <c r="E77" s="39" t="s">
        <v>36</v>
      </c>
      <c r="F77" s="40">
        <v>28266.375</v>
      </c>
      <c r="G77" s="47">
        <v>310660</v>
      </c>
      <c r="H77" s="40">
        <v>31179.688999999998</v>
      </c>
      <c r="I77" s="47">
        <v>472652</v>
      </c>
      <c r="J77" s="44">
        <v>28604.375</v>
      </c>
      <c r="K77" s="47">
        <v>325545</v>
      </c>
      <c r="L77" s="48">
        <f>F77+H77+J77</f>
        <v>88050.438999999998</v>
      </c>
      <c r="M77" s="48">
        <f>G77+I77+K77</f>
        <v>1108857</v>
      </c>
      <c r="N77" s="40">
        <v>26487.282999999999</v>
      </c>
      <c r="O77" s="40">
        <v>302722</v>
      </c>
      <c r="P77" s="40">
        <v>9774.8389999999999</v>
      </c>
      <c r="Q77" s="40">
        <v>130960</v>
      </c>
      <c r="R77" s="40">
        <v>14197.571</v>
      </c>
      <c r="S77" s="40">
        <v>163099</v>
      </c>
      <c r="T77" s="21">
        <f>N77+P77+R77</f>
        <v>50459.692999999999</v>
      </c>
      <c r="U77" s="22">
        <f>O77+Q77+S77</f>
        <v>596781</v>
      </c>
      <c r="V77" s="47">
        <v>14592.013999999999</v>
      </c>
      <c r="W77" s="47">
        <v>169213</v>
      </c>
      <c r="X77" s="164"/>
      <c r="Y77" s="165"/>
      <c r="Z77" s="164"/>
      <c r="AA77" s="165"/>
      <c r="AB77" s="40">
        <f>V77+X77+Z77</f>
        <v>14592.013999999999</v>
      </c>
      <c r="AC77" s="40">
        <f>W77+Y77+AA77</f>
        <v>169213</v>
      </c>
      <c r="AD77" s="164"/>
      <c r="AE77" s="165"/>
      <c r="AF77" s="164"/>
      <c r="AG77" s="165"/>
      <c r="AH77" s="164"/>
      <c r="AI77" s="165"/>
      <c r="AJ77" s="184"/>
      <c r="AK77" s="165"/>
      <c r="AL77" s="40">
        <f>L77+T77+AB77+AJ77</f>
        <v>153102.14599999998</v>
      </c>
      <c r="AM77" s="40">
        <f>M77+U77+AC77+AK77</f>
        <v>1874851</v>
      </c>
      <c r="AN77" s="164"/>
      <c r="AO77" s="164"/>
      <c r="AP77" s="188"/>
      <c r="AQ77" s="165"/>
      <c r="AV77" s="4"/>
    </row>
    <row r="78" spans="1:48" s="63" customFormat="1" ht="15" customHeight="1">
      <c r="A78" s="87"/>
      <c r="B78" s="146"/>
      <c r="C78" s="25" t="s">
        <v>37</v>
      </c>
      <c r="D78" s="177"/>
      <c r="E78" s="50"/>
      <c r="F78" s="51">
        <f>SUM(F76:F77)</f>
        <v>30545.048999999999</v>
      </c>
      <c r="G78" s="71">
        <f>SUM(G76:G77)</f>
        <v>346590</v>
      </c>
      <c r="H78" s="71">
        <f t="shared" ref="H78:AM78" si="33">SUM(H76:H77)</f>
        <v>33070.394</v>
      </c>
      <c r="I78" s="71">
        <f t="shared" si="33"/>
        <v>507196</v>
      </c>
      <c r="J78" s="71">
        <f t="shared" si="33"/>
        <v>30817.199000000001</v>
      </c>
      <c r="K78" s="71">
        <f t="shared" si="33"/>
        <v>359551</v>
      </c>
      <c r="L78" s="71">
        <f t="shared" si="33"/>
        <v>94432.641999999993</v>
      </c>
      <c r="M78" s="71">
        <f t="shared" si="33"/>
        <v>1213337</v>
      </c>
      <c r="N78" s="71">
        <f t="shared" si="33"/>
        <v>28663.466</v>
      </c>
      <c r="O78" s="71">
        <f t="shared" si="33"/>
        <v>335017</v>
      </c>
      <c r="P78" s="71">
        <f t="shared" si="33"/>
        <v>11122.378000000001</v>
      </c>
      <c r="Q78" s="71">
        <f t="shared" si="33"/>
        <v>153578</v>
      </c>
      <c r="R78" s="71">
        <f t="shared" si="33"/>
        <v>15744.258</v>
      </c>
      <c r="S78" s="71">
        <f t="shared" si="33"/>
        <v>187459</v>
      </c>
      <c r="T78" s="71">
        <f t="shared" si="33"/>
        <v>55530.101999999999</v>
      </c>
      <c r="U78" s="71">
        <f t="shared" si="33"/>
        <v>676054</v>
      </c>
      <c r="V78" s="71">
        <f t="shared" si="33"/>
        <v>16158.016</v>
      </c>
      <c r="W78" s="71">
        <f t="shared" si="33"/>
        <v>194613</v>
      </c>
      <c r="X78" s="71">
        <f t="shared" si="33"/>
        <v>0</v>
      </c>
      <c r="Y78" s="71">
        <f t="shared" si="33"/>
        <v>0</v>
      </c>
      <c r="Z78" s="71">
        <f t="shared" si="33"/>
        <v>0</v>
      </c>
      <c r="AA78" s="71">
        <f t="shared" si="33"/>
        <v>0</v>
      </c>
      <c r="AB78" s="71">
        <f t="shared" si="33"/>
        <v>16158.016</v>
      </c>
      <c r="AC78" s="71">
        <f t="shared" si="33"/>
        <v>194613</v>
      </c>
      <c r="AD78" s="71">
        <f t="shared" si="33"/>
        <v>0</v>
      </c>
      <c r="AE78" s="71">
        <f t="shared" si="33"/>
        <v>0</v>
      </c>
      <c r="AF78" s="71">
        <f t="shared" si="33"/>
        <v>0</v>
      </c>
      <c r="AG78" s="71">
        <f t="shared" si="33"/>
        <v>0</v>
      </c>
      <c r="AH78" s="71">
        <f t="shared" si="33"/>
        <v>0</v>
      </c>
      <c r="AI78" s="71">
        <f t="shared" si="33"/>
        <v>0</v>
      </c>
      <c r="AJ78" s="71">
        <f t="shared" si="33"/>
        <v>0</v>
      </c>
      <c r="AK78" s="71">
        <f t="shared" si="33"/>
        <v>0</v>
      </c>
      <c r="AL78" s="71">
        <f t="shared" si="33"/>
        <v>166120.75999999998</v>
      </c>
      <c r="AM78" s="71">
        <f t="shared" si="33"/>
        <v>2084004</v>
      </c>
      <c r="AN78" s="27">
        <v>268848</v>
      </c>
      <c r="AO78" s="27">
        <f>AN78/12*$AO$8</f>
        <v>89616</v>
      </c>
      <c r="AP78" s="28">
        <f>AL78/AO78</f>
        <v>1.8536953222638812</v>
      </c>
      <c r="AQ78" s="60"/>
      <c r="AV78" s="30"/>
    </row>
    <row r="79" spans="1:48" s="57" customFormat="1" ht="39.75" customHeight="1">
      <c r="A79" s="134">
        <f>+A76+1</f>
        <v>21</v>
      </c>
      <c r="B79" s="134">
        <f>B76+1</f>
        <v>22</v>
      </c>
      <c r="C79" s="134" t="s">
        <v>83</v>
      </c>
      <c r="D79" s="134" t="s">
        <v>173</v>
      </c>
      <c r="E79" s="55" t="s">
        <v>35</v>
      </c>
      <c r="F79" s="56">
        <v>885.60199999999998</v>
      </c>
      <c r="G79" s="56">
        <v>15960</v>
      </c>
      <c r="H79" s="56">
        <v>678.92100000000005</v>
      </c>
      <c r="I79" s="56">
        <v>14483</v>
      </c>
      <c r="J79" s="56">
        <v>789.25599999999997</v>
      </c>
      <c r="K79" s="33">
        <v>468</v>
      </c>
      <c r="L79" s="83">
        <f>F79+H79+J79</f>
        <v>2353.779</v>
      </c>
      <c r="M79" s="83">
        <f>G79+I79+K79</f>
        <v>30911</v>
      </c>
      <c r="N79" s="56">
        <v>669.25599999999997</v>
      </c>
      <c r="O79" s="33">
        <v>12748</v>
      </c>
      <c r="P79" s="56">
        <v>654.34100000000001</v>
      </c>
      <c r="Q79" s="56">
        <v>12610</v>
      </c>
      <c r="R79" s="56">
        <v>607.11</v>
      </c>
      <c r="S79" s="56">
        <v>11829</v>
      </c>
      <c r="T79" s="83">
        <f>N79+P79+R79</f>
        <v>1930.7069999999999</v>
      </c>
      <c r="U79" s="56">
        <f>O79+Q79+S79</f>
        <v>37187</v>
      </c>
      <c r="V79" s="56">
        <v>633.07600000000002</v>
      </c>
      <c r="W79" s="56">
        <v>12294</v>
      </c>
      <c r="X79" s="56"/>
      <c r="Y79" s="56"/>
      <c r="Z79" s="56"/>
      <c r="AA79" s="56"/>
      <c r="AB79" s="83">
        <f>V79+X79+Z79</f>
        <v>633.07600000000002</v>
      </c>
      <c r="AC79" s="83">
        <f>W79+Y79+AA79</f>
        <v>12294</v>
      </c>
      <c r="AD79" s="56"/>
      <c r="AE79" s="56"/>
      <c r="AF79" s="56"/>
      <c r="AG79" s="56"/>
      <c r="AH79" s="56"/>
      <c r="AI79" s="56"/>
      <c r="AJ79" s="83">
        <f>AD79+AF79+AH79</f>
        <v>0</v>
      </c>
      <c r="AK79" s="83">
        <f>AE79+AG79+AI79</f>
        <v>0</v>
      </c>
      <c r="AL79" s="83">
        <f>L79+T79+AB79+AJ79</f>
        <v>4917.5619999999999</v>
      </c>
      <c r="AM79" s="83">
        <f>M79+U79+AC79+AK79</f>
        <v>80392</v>
      </c>
      <c r="AN79" s="136"/>
      <c r="AO79" s="139"/>
      <c r="AP79" s="142"/>
      <c r="AQ79" s="139"/>
      <c r="AV79" s="4"/>
    </row>
    <row r="80" spans="1:48" s="57" customFormat="1" ht="39.75" customHeight="1">
      <c r="A80" s="134"/>
      <c r="B80" s="134"/>
      <c r="C80" s="134"/>
      <c r="D80" s="134"/>
      <c r="E80" s="55" t="s">
        <v>36</v>
      </c>
      <c r="F80" s="56">
        <v>4203.6049999999996</v>
      </c>
      <c r="G80" s="56">
        <v>66430</v>
      </c>
      <c r="H80" s="56">
        <v>4746.3509999999997</v>
      </c>
      <c r="I80" s="56">
        <v>83871</v>
      </c>
      <c r="J80" s="56">
        <v>4068.7539999999999</v>
      </c>
      <c r="K80" s="33">
        <v>2125</v>
      </c>
      <c r="L80" s="83">
        <f>F80+H80+J80</f>
        <v>13018.71</v>
      </c>
      <c r="M80" s="83">
        <f>G80+I80+K80</f>
        <v>152426</v>
      </c>
      <c r="N80" s="56">
        <v>3808.0329999999999</v>
      </c>
      <c r="O80" s="33">
        <v>62378</v>
      </c>
      <c r="P80" s="56">
        <v>3594.1419999999998</v>
      </c>
      <c r="Q80" s="56">
        <v>58840</v>
      </c>
      <c r="R80" s="56">
        <v>3691.652</v>
      </c>
      <c r="S80" s="56">
        <v>61348</v>
      </c>
      <c r="T80" s="83">
        <f>N80+P80+R80</f>
        <v>11093.826999999999</v>
      </c>
      <c r="U80" s="56">
        <f>O80+Q80+S80</f>
        <v>182566</v>
      </c>
      <c r="V80" s="56">
        <v>3916.9630000000002</v>
      </c>
      <c r="W80" s="56">
        <f>64370</f>
        <v>64370</v>
      </c>
      <c r="X80" s="56"/>
      <c r="Y80" s="56"/>
      <c r="Z80" s="56"/>
      <c r="AA80" s="56"/>
      <c r="AB80" s="83">
        <f>V80+X80+Z80</f>
        <v>3916.9630000000002</v>
      </c>
      <c r="AC80" s="83">
        <f>W80+Y80+AA80</f>
        <v>64370</v>
      </c>
      <c r="AD80" s="56"/>
      <c r="AE80" s="56"/>
      <c r="AF80" s="56"/>
      <c r="AG80" s="56"/>
      <c r="AH80" s="56"/>
      <c r="AI80" s="56"/>
      <c r="AJ80" s="83">
        <f>AD80+AF80+AH80</f>
        <v>0</v>
      </c>
      <c r="AK80" s="83">
        <f>AE80+AG80+AI80</f>
        <v>0</v>
      </c>
      <c r="AL80" s="83">
        <f>L80+T80+AB80+AJ80</f>
        <v>28029.499999999996</v>
      </c>
      <c r="AM80" s="83">
        <f>M80+U80+AC80+AK80</f>
        <v>399362</v>
      </c>
      <c r="AN80" s="138"/>
      <c r="AO80" s="141"/>
      <c r="AP80" s="144"/>
      <c r="AQ80" s="141"/>
      <c r="AV80" s="4"/>
    </row>
    <row r="81" spans="1:48" s="63" customFormat="1" ht="17.25" customHeight="1">
      <c r="A81" s="135"/>
      <c r="B81" s="135"/>
      <c r="C81" s="59" t="s">
        <v>37</v>
      </c>
      <c r="D81" s="59"/>
      <c r="E81" s="60"/>
      <c r="F81" s="60">
        <f t="shared" ref="F81:AM81" si="34">SUM(F79:F80)</f>
        <v>5089.2069999999994</v>
      </c>
      <c r="G81" s="60">
        <f t="shared" si="34"/>
        <v>82390</v>
      </c>
      <c r="H81" s="60">
        <f t="shared" si="34"/>
        <v>5425.2719999999999</v>
      </c>
      <c r="I81" s="60">
        <f t="shared" si="34"/>
        <v>98354</v>
      </c>
      <c r="J81" s="60">
        <f t="shared" si="34"/>
        <v>4858.01</v>
      </c>
      <c r="K81" s="60">
        <f t="shared" si="34"/>
        <v>2593</v>
      </c>
      <c r="L81" s="60">
        <f t="shared" si="34"/>
        <v>15372.489</v>
      </c>
      <c r="M81" s="60">
        <f t="shared" si="34"/>
        <v>183337</v>
      </c>
      <c r="N81" s="60">
        <f t="shared" si="34"/>
        <v>4477.2889999999998</v>
      </c>
      <c r="O81" s="60">
        <f t="shared" si="34"/>
        <v>75126</v>
      </c>
      <c r="P81" s="60">
        <f t="shared" si="34"/>
        <v>4248.4830000000002</v>
      </c>
      <c r="Q81" s="60">
        <f t="shared" si="34"/>
        <v>71450</v>
      </c>
      <c r="R81" s="60">
        <f t="shared" si="34"/>
        <v>4298.7619999999997</v>
      </c>
      <c r="S81" s="60">
        <f t="shared" si="34"/>
        <v>73177</v>
      </c>
      <c r="T81" s="60">
        <f t="shared" si="34"/>
        <v>13024.534</v>
      </c>
      <c r="U81" s="60">
        <f t="shared" si="34"/>
        <v>219753</v>
      </c>
      <c r="V81" s="60">
        <f t="shared" si="34"/>
        <v>4550.0390000000007</v>
      </c>
      <c r="W81" s="60">
        <f t="shared" si="34"/>
        <v>76664</v>
      </c>
      <c r="X81" s="60">
        <f t="shared" si="34"/>
        <v>0</v>
      </c>
      <c r="Y81" s="60">
        <f t="shared" si="34"/>
        <v>0</v>
      </c>
      <c r="Z81" s="60">
        <f t="shared" si="34"/>
        <v>0</v>
      </c>
      <c r="AA81" s="60">
        <f t="shared" si="34"/>
        <v>0</v>
      </c>
      <c r="AB81" s="60">
        <f t="shared" si="34"/>
        <v>4550.0390000000007</v>
      </c>
      <c r="AC81" s="60">
        <f t="shared" si="34"/>
        <v>76664</v>
      </c>
      <c r="AD81" s="60">
        <f t="shared" si="34"/>
        <v>0</v>
      </c>
      <c r="AE81" s="60">
        <f t="shared" si="34"/>
        <v>0</v>
      </c>
      <c r="AF81" s="60">
        <f t="shared" si="34"/>
        <v>0</v>
      </c>
      <c r="AG81" s="60">
        <f t="shared" si="34"/>
        <v>0</v>
      </c>
      <c r="AH81" s="60">
        <f t="shared" si="34"/>
        <v>0</v>
      </c>
      <c r="AI81" s="60">
        <f t="shared" si="34"/>
        <v>0</v>
      </c>
      <c r="AJ81" s="60">
        <f t="shared" si="34"/>
        <v>0</v>
      </c>
      <c r="AK81" s="60">
        <f t="shared" si="34"/>
        <v>0</v>
      </c>
      <c r="AL81" s="60">
        <f t="shared" si="34"/>
        <v>32947.061999999998</v>
      </c>
      <c r="AM81" s="60">
        <f t="shared" si="34"/>
        <v>479754</v>
      </c>
      <c r="AN81" s="27">
        <v>592401</v>
      </c>
      <c r="AO81" s="27">
        <f>AN81/12*$AO$8</f>
        <v>197467</v>
      </c>
      <c r="AP81" s="28">
        <f>AL81/AO81</f>
        <v>0.16684844556305609</v>
      </c>
      <c r="AQ81" s="62"/>
      <c r="AV81" s="30"/>
    </row>
    <row r="82" spans="1:48" s="57" customFormat="1" ht="23.25" customHeight="1">
      <c r="A82" s="145">
        <f>A79+1</f>
        <v>22</v>
      </c>
      <c r="B82" s="145">
        <v>23</v>
      </c>
      <c r="C82" s="145" t="s">
        <v>84</v>
      </c>
      <c r="D82" s="145" t="s">
        <v>85</v>
      </c>
      <c r="E82" s="39" t="s">
        <v>35</v>
      </c>
      <c r="F82" s="22">
        <f>1016.048</f>
        <v>1016.048</v>
      </c>
      <c r="G82" s="40">
        <f>188+159+131+26+14+5835+4919+4068+815+437</f>
        <v>16592</v>
      </c>
      <c r="H82" s="22">
        <v>798.83100000000002</v>
      </c>
      <c r="I82" s="40">
        <f>227+121+98+19+8+6579+3506+2850+558+245</f>
        <v>14211</v>
      </c>
      <c r="J82" s="22">
        <f>911.12+13.315</f>
        <v>924.43500000000006</v>
      </c>
      <c r="K82" s="40">
        <f>157+128+112+28+17+4882+3974+3479+868+523</f>
        <v>14168</v>
      </c>
      <c r="L82" s="21">
        <f>F82+H82+J82</f>
        <v>2739.3139999999999</v>
      </c>
      <c r="M82" s="21">
        <f>G82+I82+K82</f>
        <v>44971</v>
      </c>
      <c r="N82" s="22">
        <f>835.21+24.132+9.726</f>
        <v>869.06799999999998</v>
      </c>
      <c r="O82" s="40">
        <f>(4721+3792+3069+708+506)+(157+126+102+24+17)</f>
        <v>13222</v>
      </c>
      <c r="P82" s="22">
        <f>792.692+19.258+9.686</f>
        <v>821.63600000000008</v>
      </c>
      <c r="Q82" s="22">
        <f>150+114+89+23+16+4641+3530+2763+713+496</f>
        <v>12535</v>
      </c>
      <c r="R82" s="22">
        <f>707.915+16.418+12.129</f>
        <v>736.46199999999999</v>
      </c>
      <c r="S82" s="22">
        <f>151+111+79+17+15+4525+3319+2378+523+435</f>
        <v>11553</v>
      </c>
      <c r="T82" s="21">
        <f>N82+P82+R82</f>
        <v>2427.1660000000002</v>
      </c>
      <c r="U82" s="22">
        <f>O82+Q82+S82</f>
        <v>37310</v>
      </c>
      <c r="V82" s="22">
        <f>794.763+16.25+10.761</f>
        <v>821.774</v>
      </c>
      <c r="W82" s="22">
        <f>160+131+85+19+14+4960+4059+2632+597+420</f>
        <v>13077</v>
      </c>
      <c r="X82" s="22"/>
      <c r="Y82" s="22"/>
      <c r="Z82" s="22"/>
      <c r="AA82" s="88"/>
      <c r="AB82" s="21">
        <f>V82+X82+Z82</f>
        <v>821.774</v>
      </c>
      <c r="AC82" s="41">
        <f>W82+Y82+AA82</f>
        <v>13077</v>
      </c>
      <c r="AD82" s="22"/>
      <c r="AE82" s="22"/>
      <c r="AF82" s="22"/>
      <c r="AG82" s="22"/>
      <c r="AH82" s="22"/>
      <c r="AI82" s="40"/>
      <c r="AJ82" s="21">
        <f>AD82+AF82+AH82</f>
        <v>0</v>
      </c>
      <c r="AK82" s="21">
        <f>AE82+AG82+AI82</f>
        <v>0</v>
      </c>
      <c r="AL82" s="21">
        <f>L82+T82+AB82+AJ82</f>
        <v>5988.2539999999999</v>
      </c>
      <c r="AM82" s="21">
        <f>M82+U82+AC82+AK82</f>
        <v>95358</v>
      </c>
      <c r="AN82" s="149"/>
      <c r="AO82" s="132"/>
      <c r="AP82" s="130"/>
      <c r="AQ82" s="132"/>
      <c r="AV82" s="4"/>
    </row>
    <row r="83" spans="1:48" s="57" customFormat="1" ht="36" customHeight="1">
      <c r="A83" s="145"/>
      <c r="B83" s="145"/>
      <c r="C83" s="145"/>
      <c r="D83" s="145"/>
      <c r="E83" s="39" t="s">
        <v>36</v>
      </c>
      <c r="F83" s="22">
        <f>4638.124</f>
        <v>4638.1239999999998</v>
      </c>
      <c r="G83" s="40">
        <f>942+564+840+144+113+29197+17497+26034+4451+3514</f>
        <v>83296</v>
      </c>
      <c r="H83" s="22">
        <v>5068.2709999999997</v>
      </c>
      <c r="I83" s="40">
        <f>1629+559+775+101+93+47245+16225+22461+2928+2692</f>
        <v>94708</v>
      </c>
      <c r="J83" s="22">
        <f>5060.355+93.608</f>
        <v>5153.9629999999997</v>
      </c>
      <c r="K83" s="40">
        <f>979+627+906+128+134+30363+19442+28072+3973+4148</f>
        <v>88772</v>
      </c>
      <c r="L83" s="21">
        <f>F83+H83+J83</f>
        <v>14860.358</v>
      </c>
      <c r="M83" s="21">
        <f>G83+I83+K83</f>
        <v>266776</v>
      </c>
      <c r="N83" s="22">
        <f>4363.591+135.84+78.33</f>
        <v>4577.7610000000004</v>
      </c>
      <c r="O83" s="40">
        <f>(28208+17908+25126+3588+3443)+(940+597+838+120+115)</f>
        <v>80883</v>
      </c>
      <c r="P83" s="22">
        <f>4282.749+126.099+78.728</f>
        <v>4487.576</v>
      </c>
      <c r="Q83" s="22">
        <f>909+541+779+110+108+28191+16771+24134+3424+3358</f>
        <v>78325</v>
      </c>
      <c r="R83" s="22">
        <f>4189.329+127.487+70.896</f>
        <v>4387.7119999999995</v>
      </c>
      <c r="S83" s="22">
        <f>923+533+755+107+97+27680+15996+22659+3211+2896</f>
        <v>74857</v>
      </c>
      <c r="T83" s="21">
        <f>N83+P83+R83</f>
        <v>13453.048999999999</v>
      </c>
      <c r="U83" s="22">
        <f>O83+Q83+S83</f>
        <v>234065</v>
      </c>
      <c r="V83" s="22">
        <f>4547.949+126.239+75.957</f>
        <v>4750.1449999999995</v>
      </c>
      <c r="W83" s="22">
        <f>946+567+795+142+96+29341+17574+24656+4414+2981</f>
        <v>81512</v>
      </c>
      <c r="X83" s="22"/>
      <c r="Y83" s="22"/>
      <c r="Z83" s="22"/>
      <c r="AA83" s="88"/>
      <c r="AB83" s="21">
        <f>V83+X83+Z83</f>
        <v>4750.1449999999995</v>
      </c>
      <c r="AC83" s="41">
        <f>W83+Y83+AA83</f>
        <v>81512</v>
      </c>
      <c r="AD83" s="22"/>
      <c r="AE83" s="22"/>
      <c r="AF83" s="22"/>
      <c r="AG83" s="22"/>
      <c r="AH83" s="22"/>
      <c r="AI83" s="40"/>
      <c r="AJ83" s="21">
        <f>AD83+AF83+AH83</f>
        <v>0</v>
      </c>
      <c r="AK83" s="21">
        <f>AE83+AG83+AI83</f>
        <v>0</v>
      </c>
      <c r="AL83" s="21">
        <f>L83+T83+AB83+AJ83</f>
        <v>33063.551999999996</v>
      </c>
      <c r="AM83" s="21">
        <f>M83+U83+AC83+AK83</f>
        <v>582353</v>
      </c>
      <c r="AN83" s="150"/>
      <c r="AO83" s="133"/>
      <c r="AP83" s="131"/>
      <c r="AQ83" s="133"/>
      <c r="AV83" s="4"/>
    </row>
    <row r="84" spans="1:48" s="63" customFormat="1" ht="12" customHeight="1">
      <c r="A84" s="146"/>
      <c r="B84" s="146"/>
      <c r="C84" s="25" t="s">
        <v>37</v>
      </c>
      <c r="D84" s="25"/>
      <c r="E84" s="71"/>
      <c r="F84" s="71">
        <f t="shared" ref="F84:AM84" si="35">SUM(F82:F83)</f>
        <v>5654.1719999999996</v>
      </c>
      <c r="G84" s="71">
        <f t="shared" si="35"/>
        <v>99888</v>
      </c>
      <c r="H84" s="71">
        <f t="shared" si="35"/>
        <v>5867.1019999999999</v>
      </c>
      <c r="I84" s="71">
        <f t="shared" si="35"/>
        <v>108919</v>
      </c>
      <c r="J84" s="71">
        <f t="shared" si="35"/>
        <v>6078.3980000000001</v>
      </c>
      <c r="K84" s="71">
        <f t="shared" si="35"/>
        <v>102940</v>
      </c>
      <c r="L84" s="71">
        <f t="shared" si="35"/>
        <v>17599.671999999999</v>
      </c>
      <c r="M84" s="71">
        <f t="shared" si="35"/>
        <v>311747</v>
      </c>
      <c r="N84" s="71">
        <f t="shared" si="35"/>
        <v>5446.8290000000006</v>
      </c>
      <c r="O84" s="71">
        <f t="shared" si="35"/>
        <v>94105</v>
      </c>
      <c r="P84" s="71">
        <f t="shared" si="35"/>
        <v>5309.2120000000004</v>
      </c>
      <c r="Q84" s="71">
        <f t="shared" si="35"/>
        <v>90860</v>
      </c>
      <c r="R84" s="71">
        <f t="shared" si="35"/>
        <v>5124.1739999999991</v>
      </c>
      <c r="S84" s="71">
        <f t="shared" si="35"/>
        <v>86410</v>
      </c>
      <c r="T84" s="71">
        <f t="shared" si="35"/>
        <v>15880.215</v>
      </c>
      <c r="U84" s="71">
        <f t="shared" si="35"/>
        <v>271375</v>
      </c>
      <c r="V84" s="71">
        <f t="shared" si="35"/>
        <v>5571.9189999999999</v>
      </c>
      <c r="W84" s="71">
        <f t="shared" si="35"/>
        <v>94589</v>
      </c>
      <c r="X84" s="71">
        <f t="shared" si="35"/>
        <v>0</v>
      </c>
      <c r="Y84" s="71">
        <f t="shared" si="35"/>
        <v>0</v>
      </c>
      <c r="Z84" s="71">
        <f t="shared" si="35"/>
        <v>0</v>
      </c>
      <c r="AA84" s="71">
        <f t="shared" si="35"/>
        <v>0</v>
      </c>
      <c r="AB84" s="71">
        <f t="shared" si="35"/>
        <v>5571.9189999999999</v>
      </c>
      <c r="AC84" s="71">
        <f t="shared" si="35"/>
        <v>94589</v>
      </c>
      <c r="AD84" s="71">
        <f t="shared" si="35"/>
        <v>0</v>
      </c>
      <c r="AE84" s="71">
        <f t="shared" si="35"/>
        <v>0</v>
      </c>
      <c r="AF84" s="71">
        <f t="shared" si="35"/>
        <v>0</v>
      </c>
      <c r="AG84" s="71">
        <f t="shared" si="35"/>
        <v>0</v>
      </c>
      <c r="AH84" s="71">
        <f t="shared" si="35"/>
        <v>0</v>
      </c>
      <c r="AI84" s="71">
        <f t="shared" si="35"/>
        <v>0</v>
      </c>
      <c r="AJ84" s="71">
        <f t="shared" si="35"/>
        <v>0</v>
      </c>
      <c r="AK84" s="71">
        <f t="shared" si="35"/>
        <v>0</v>
      </c>
      <c r="AL84" s="71">
        <f t="shared" si="35"/>
        <v>39051.805999999997</v>
      </c>
      <c r="AM84" s="71">
        <f t="shared" si="35"/>
        <v>677711</v>
      </c>
      <c r="AN84" s="27">
        <v>424535</v>
      </c>
      <c r="AO84" s="27">
        <f>AN84/12*$AO$8</f>
        <v>141511.66666666666</v>
      </c>
      <c r="AP84" s="28">
        <f>AL84/AO84</f>
        <v>0.27596174167029808</v>
      </c>
      <c r="AQ84" s="26"/>
      <c r="AV84" s="30"/>
    </row>
    <row r="85" spans="1:48" s="57" customFormat="1">
      <c r="A85" s="134">
        <f>+A82+1</f>
        <v>23</v>
      </c>
      <c r="B85" s="134">
        <f>+B82+1</f>
        <v>24</v>
      </c>
      <c r="C85" s="134" t="s">
        <v>86</v>
      </c>
      <c r="D85" s="134" t="s">
        <v>87</v>
      </c>
      <c r="E85" s="55" t="s">
        <v>35</v>
      </c>
      <c r="F85" s="56">
        <v>3219.3270000000002</v>
      </c>
      <c r="G85" s="56">
        <v>69985</v>
      </c>
      <c r="H85" s="56">
        <v>2495.9090000000001</v>
      </c>
      <c r="I85" s="47">
        <v>63350</v>
      </c>
      <c r="J85" s="56">
        <v>2847.2</v>
      </c>
      <c r="K85" s="56">
        <v>61059</v>
      </c>
      <c r="L85" s="83">
        <f>F85+H85+J85</f>
        <v>8562.4360000000015</v>
      </c>
      <c r="M85" s="83">
        <f>G85+I85+K85</f>
        <v>194394</v>
      </c>
      <c r="N85" s="56">
        <v>2816.2</v>
      </c>
      <c r="O85" s="56">
        <v>60976</v>
      </c>
      <c r="P85" s="56">
        <v>2802.12</v>
      </c>
      <c r="Q85" s="56">
        <v>61391</v>
      </c>
      <c r="R85" s="56">
        <v>2670.3090000000002</v>
      </c>
      <c r="S85" s="56">
        <v>62393</v>
      </c>
      <c r="T85" s="83">
        <f>N85+P85+R85</f>
        <v>8288.6290000000008</v>
      </c>
      <c r="U85" s="56">
        <f>O85+Q85+S85</f>
        <v>184760</v>
      </c>
      <c r="V85" s="56">
        <v>2622.22</v>
      </c>
      <c r="W85" s="56">
        <v>60280</v>
      </c>
      <c r="X85" s="56"/>
      <c r="Y85" s="56"/>
      <c r="Z85" s="56"/>
      <c r="AA85" s="56"/>
      <c r="AB85" s="83">
        <f>V85+X85+Z85</f>
        <v>2622.22</v>
      </c>
      <c r="AC85" s="83">
        <f>W85+Y85+AA85</f>
        <v>60280</v>
      </c>
      <c r="AD85" s="56"/>
      <c r="AE85" s="56"/>
      <c r="AF85" s="56"/>
      <c r="AG85" s="56"/>
      <c r="AH85" s="56"/>
      <c r="AI85" s="47"/>
      <c r="AJ85" s="83">
        <f>AD85+AF85+AH85</f>
        <v>0</v>
      </c>
      <c r="AK85" s="83">
        <f>AE85+AG85+AI85</f>
        <v>0</v>
      </c>
      <c r="AL85" s="83">
        <f>L85+T85+AB85+AJ85</f>
        <v>19473.285000000003</v>
      </c>
      <c r="AM85" s="83">
        <f>M85+U85+AC85+AK85</f>
        <v>439434</v>
      </c>
      <c r="AN85" s="136"/>
      <c r="AO85" s="139"/>
      <c r="AP85" s="142"/>
      <c r="AQ85" s="139"/>
      <c r="AT85" s="4"/>
      <c r="AU85" s="4"/>
      <c r="AV85" s="4"/>
    </row>
    <row r="86" spans="1:48" s="57" customFormat="1">
      <c r="A86" s="134"/>
      <c r="B86" s="134"/>
      <c r="C86" s="134"/>
      <c r="D86" s="134"/>
      <c r="E86" s="55" t="s">
        <v>36</v>
      </c>
      <c r="F86" s="56">
        <v>19410.79</v>
      </c>
      <c r="G86" s="56">
        <v>516322</v>
      </c>
      <c r="H86" s="56">
        <v>18264.522000000001</v>
      </c>
      <c r="I86" s="47">
        <v>529279</v>
      </c>
      <c r="J86" s="56">
        <v>19011.839</v>
      </c>
      <c r="K86" s="56">
        <v>504522</v>
      </c>
      <c r="L86" s="83">
        <f>F86+H86+J86</f>
        <v>56687.151000000005</v>
      </c>
      <c r="M86" s="83">
        <f>G86+I86+K86</f>
        <v>1550123</v>
      </c>
      <c r="N86" s="56">
        <v>18717.828000000001</v>
      </c>
      <c r="O86" s="56">
        <v>508360</v>
      </c>
      <c r="P86" s="56">
        <v>19626.741000000002</v>
      </c>
      <c r="Q86" s="56">
        <v>523887</v>
      </c>
      <c r="R86" s="56">
        <v>20367.231</v>
      </c>
      <c r="S86" s="56">
        <v>556590</v>
      </c>
      <c r="T86" s="83">
        <f>N86+P86+R86</f>
        <v>58711.8</v>
      </c>
      <c r="U86" s="56">
        <f>O86+Q86+S86</f>
        <v>1588837</v>
      </c>
      <c r="V86" s="56">
        <v>20477.754000000001</v>
      </c>
      <c r="W86" s="56">
        <v>560799</v>
      </c>
      <c r="X86" s="56"/>
      <c r="Y86" s="56"/>
      <c r="Z86" s="56"/>
      <c r="AA86" s="56"/>
      <c r="AB86" s="83">
        <f>V86+X86+Z86</f>
        <v>20477.754000000001</v>
      </c>
      <c r="AC86" s="83">
        <f>W86+Y86+AA86</f>
        <v>560799</v>
      </c>
      <c r="AD86" s="56"/>
      <c r="AE86" s="56"/>
      <c r="AF86" s="56"/>
      <c r="AG86" s="56"/>
      <c r="AH86" s="56"/>
      <c r="AI86" s="47"/>
      <c r="AJ86" s="83">
        <f>AD86+AF86+AH86</f>
        <v>0</v>
      </c>
      <c r="AK86" s="83">
        <f>AE86+AG86+AI86</f>
        <v>0</v>
      </c>
      <c r="AL86" s="83">
        <f>L86+T86+AB86+AJ86</f>
        <v>135876.70500000002</v>
      </c>
      <c r="AM86" s="83">
        <f>M86+U86+AC86+AK86</f>
        <v>3699759</v>
      </c>
      <c r="AN86" s="138"/>
      <c r="AO86" s="141"/>
      <c r="AP86" s="144"/>
      <c r="AQ86" s="141"/>
      <c r="AV86" s="4"/>
    </row>
    <row r="87" spans="1:48" s="63" customFormat="1" ht="14.25">
      <c r="A87" s="135"/>
      <c r="B87" s="135"/>
      <c r="C87" s="59" t="s">
        <v>37</v>
      </c>
      <c r="D87" s="59"/>
      <c r="E87" s="60"/>
      <c r="F87" s="60">
        <f t="shared" ref="F87:U87" si="36">SUM(F85:F86)</f>
        <v>22630.117000000002</v>
      </c>
      <c r="G87" s="60">
        <f t="shared" si="36"/>
        <v>586307</v>
      </c>
      <c r="H87" s="60">
        <f t="shared" si="36"/>
        <v>20760.431</v>
      </c>
      <c r="I87" s="60">
        <f t="shared" si="36"/>
        <v>592629</v>
      </c>
      <c r="J87" s="60">
        <f t="shared" si="36"/>
        <v>21859.039000000001</v>
      </c>
      <c r="K87" s="60">
        <f t="shared" si="36"/>
        <v>565581</v>
      </c>
      <c r="L87" s="60">
        <f t="shared" si="36"/>
        <v>65249.587000000007</v>
      </c>
      <c r="M87" s="60">
        <f t="shared" si="36"/>
        <v>1744517</v>
      </c>
      <c r="N87" s="60">
        <f t="shared" si="36"/>
        <v>21534.028000000002</v>
      </c>
      <c r="O87" s="60">
        <f t="shared" si="36"/>
        <v>569336</v>
      </c>
      <c r="P87" s="60">
        <f t="shared" si="36"/>
        <v>22428.861000000001</v>
      </c>
      <c r="Q87" s="60">
        <f t="shared" si="36"/>
        <v>585278</v>
      </c>
      <c r="R87" s="60">
        <f t="shared" si="36"/>
        <v>23037.54</v>
      </c>
      <c r="S87" s="60">
        <f t="shared" si="36"/>
        <v>618983</v>
      </c>
      <c r="T87" s="60">
        <f>SUM(T85:T86)</f>
        <v>67000.429000000004</v>
      </c>
      <c r="U87" s="60">
        <f t="shared" si="36"/>
        <v>1773597</v>
      </c>
      <c r="V87" s="62">
        <f t="shared" ref="V87:AK87" si="37">V85+V86</f>
        <v>23099.974000000002</v>
      </c>
      <c r="W87" s="62">
        <f t="shared" si="37"/>
        <v>621079</v>
      </c>
      <c r="X87" s="62">
        <f t="shared" si="37"/>
        <v>0</v>
      </c>
      <c r="Y87" s="62">
        <f t="shared" si="37"/>
        <v>0</v>
      </c>
      <c r="Z87" s="62">
        <f t="shared" si="37"/>
        <v>0</v>
      </c>
      <c r="AA87" s="62">
        <f t="shared" si="37"/>
        <v>0</v>
      </c>
      <c r="AB87" s="62">
        <f t="shared" si="37"/>
        <v>23099.974000000002</v>
      </c>
      <c r="AC87" s="62">
        <f t="shared" si="37"/>
        <v>621079</v>
      </c>
      <c r="AD87" s="60">
        <f t="shared" si="37"/>
        <v>0</v>
      </c>
      <c r="AE87" s="60">
        <f t="shared" si="37"/>
        <v>0</v>
      </c>
      <c r="AF87" s="60">
        <f t="shared" si="37"/>
        <v>0</v>
      </c>
      <c r="AG87" s="60">
        <f t="shared" si="37"/>
        <v>0</v>
      </c>
      <c r="AH87" s="60">
        <f t="shared" si="37"/>
        <v>0</v>
      </c>
      <c r="AI87" s="60">
        <f t="shared" si="37"/>
        <v>0</v>
      </c>
      <c r="AJ87" s="62">
        <f t="shared" si="37"/>
        <v>0</v>
      </c>
      <c r="AK87" s="60">
        <f t="shared" si="37"/>
        <v>0</v>
      </c>
      <c r="AL87" s="60">
        <f>SUM(AL85:AL86)</f>
        <v>155349.99000000002</v>
      </c>
      <c r="AM87" s="60">
        <f>SUM(AM85:AM86)</f>
        <v>4139193</v>
      </c>
      <c r="AN87" s="27">
        <v>282338</v>
      </c>
      <c r="AO87" s="27">
        <f>AN87/12*$AO$8</f>
        <v>94112.666666666672</v>
      </c>
      <c r="AP87" s="28">
        <f>AL87/AO87</f>
        <v>1.6506809922858419</v>
      </c>
      <c r="AQ87" s="62"/>
      <c r="AV87" s="30"/>
    </row>
    <row r="88" spans="1:48" s="57" customFormat="1" ht="30.75" customHeight="1">
      <c r="A88" s="175">
        <f>+A85+1</f>
        <v>24</v>
      </c>
      <c r="B88" s="175">
        <v>25</v>
      </c>
      <c r="C88" s="175" t="s">
        <v>88</v>
      </c>
      <c r="D88" s="175" t="s">
        <v>89</v>
      </c>
      <c r="E88" s="39" t="s">
        <v>35</v>
      </c>
      <c r="F88" s="22">
        <v>1951.354</v>
      </c>
      <c r="G88" s="22">
        <v>60192</v>
      </c>
      <c r="H88" s="22">
        <v>1600.1969999999999</v>
      </c>
      <c r="I88" s="22">
        <v>52987</v>
      </c>
      <c r="J88" s="40">
        <v>1853.4010000000001</v>
      </c>
      <c r="K88" s="22">
        <v>56233</v>
      </c>
      <c r="L88" s="40">
        <f t="shared" ref="L88:M91" si="38">F88+H88+J88</f>
        <v>5404.9520000000002</v>
      </c>
      <c r="M88" s="40">
        <f t="shared" si="38"/>
        <v>169412</v>
      </c>
      <c r="N88" s="22">
        <v>1895.856</v>
      </c>
      <c r="O88" s="22">
        <v>58954</v>
      </c>
      <c r="P88" s="22">
        <v>1678.479</v>
      </c>
      <c r="Q88" s="22">
        <v>53925</v>
      </c>
      <c r="R88" s="22">
        <v>1636.2860000000001</v>
      </c>
      <c r="S88" s="22">
        <v>51903</v>
      </c>
      <c r="T88" s="40">
        <f t="shared" ref="T88:U91" si="39">N88+P88+R88</f>
        <v>5210.6210000000001</v>
      </c>
      <c r="U88" s="40">
        <f t="shared" si="39"/>
        <v>164782</v>
      </c>
      <c r="V88" s="21">
        <v>1479.8989999999999</v>
      </c>
      <c r="W88" s="21">
        <v>46416</v>
      </c>
      <c r="X88" s="21"/>
      <c r="Y88" s="21"/>
      <c r="Z88" s="21"/>
      <c r="AA88" s="21"/>
      <c r="AB88" s="40">
        <f t="shared" ref="AB88:AC91" si="40">V88+X88+Z88</f>
        <v>1479.8989999999999</v>
      </c>
      <c r="AC88" s="40">
        <f t="shared" si="40"/>
        <v>46416</v>
      </c>
      <c r="AD88" s="22"/>
      <c r="AE88" s="22"/>
      <c r="AF88" s="22"/>
      <c r="AG88" s="22"/>
      <c r="AH88" s="22"/>
      <c r="AI88" s="22"/>
      <c r="AJ88" s="21"/>
      <c r="AK88" s="22"/>
      <c r="AL88" s="83">
        <f t="shared" ref="AL88:AM91" si="41">L88+T88+AB88+AJ88</f>
        <v>12095.472</v>
      </c>
      <c r="AM88" s="83">
        <f t="shared" si="41"/>
        <v>380610</v>
      </c>
      <c r="AN88" s="152"/>
      <c r="AO88" s="152"/>
      <c r="AP88" s="168"/>
      <c r="AQ88" s="139"/>
      <c r="AV88" s="4"/>
    </row>
    <row r="89" spans="1:48" s="57" customFormat="1" ht="30.75" customHeight="1">
      <c r="A89" s="176"/>
      <c r="B89" s="178"/>
      <c r="C89" s="176"/>
      <c r="D89" s="178"/>
      <c r="E89" s="39" t="s">
        <v>36</v>
      </c>
      <c r="F89" s="22">
        <v>8021.924</v>
      </c>
      <c r="G89" s="22">
        <v>204172</v>
      </c>
      <c r="H89" s="22">
        <v>6598.4489999999996</v>
      </c>
      <c r="I89" s="22">
        <v>198202</v>
      </c>
      <c r="J89" s="40">
        <v>7545.5720000000001</v>
      </c>
      <c r="K89" s="22">
        <v>203592</v>
      </c>
      <c r="L89" s="40">
        <f t="shared" si="38"/>
        <v>22165.945</v>
      </c>
      <c r="M89" s="40">
        <f t="shared" si="38"/>
        <v>605966</v>
      </c>
      <c r="N89" s="22">
        <v>8629.1329999999998</v>
      </c>
      <c r="O89" s="22">
        <v>221178</v>
      </c>
      <c r="P89" s="22">
        <v>8266.6740000000009</v>
      </c>
      <c r="Q89" s="22">
        <v>214537</v>
      </c>
      <c r="R89" s="22">
        <v>7945.9459999999999</v>
      </c>
      <c r="S89" s="22">
        <v>216949</v>
      </c>
      <c r="T89" s="40">
        <f t="shared" si="39"/>
        <v>24841.753000000001</v>
      </c>
      <c r="U89" s="40">
        <f t="shared" si="39"/>
        <v>652664</v>
      </c>
      <c r="V89" s="21">
        <v>7279.3019999999997</v>
      </c>
      <c r="W89" s="21">
        <v>205997</v>
      </c>
      <c r="X89" s="21"/>
      <c r="Y89" s="21"/>
      <c r="Z89" s="21"/>
      <c r="AA89" s="21"/>
      <c r="AB89" s="40">
        <f t="shared" si="40"/>
        <v>7279.3019999999997</v>
      </c>
      <c r="AC89" s="40">
        <f t="shared" si="40"/>
        <v>205997</v>
      </c>
      <c r="AD89" s="22"/>
      <c r="AE89" s="22"/>
      <c r="AF89" s="22"/>
      <c r="AG89" s="22"/>
      <c r="AH89" s="22"/>
      <c r="AI89" s="22"/>
      <c r="AJ89" s="21"/>
      <c r="AK89" s="22"/>
      <c r="AL89" s="83">
        <f t="shared" si="41"/>
        <v>54287</v>
      </c>
      <c r="AM89" s="83">
        <f t="shared" si="41"/>
        <v>1464627</v>
      </c>
      <c r="AN89" s="154"/>
      <c r="AO89" s="154"/>
      <c r="AP89" s="169"/>
      <c r="AQ89" s="140"/>
      <c r="AV89" s="4"/>
    </row>
    <row r="90" spans="1:48" s="57" customFormat="1" ht="30.75" customHeight="1">
      <c r="A90" s="176"/>
      <c r="B90" s="175">
        <v>26</v>
      </c>
      <c r="C90" s="176"/>
      <c r="D90" s="175" t="s">
        <v>90</v>
      </c>
      <c r="E90" s="39" t="s">
        <v>35</v>
      </c>
      <c r="F90" s="40">
        <v>2104.5920000000001</v>
      </c>
      <c r="G90" s="40">
        <v>122468</v>
      </c>
      <c r="H90" s="40">
        <v>1838.5340000000001</v>
      </c>
      <c r="I90" s="40">
        <v>110456</v>
      </c>
      <c r="J90" s="40">
        <v>1777.36</v>
      </c>
      <c r="K90" s="40">
        <v>103259</v>
      </c>
      <c r="L90" s="40">
        <f t="shared" si="38"/>
        <v>5720.4859999999999</v>
      </c>
      <c r="M90" s="40">
        <f t="shared" si="38"/>
        <v>336183</v>
      </c>
      <c r="N90" s="40">
        <v>1957.7370000000001</v>
      </c>
      <c r="O90" s="40">
        <v>112438</v>
      </c>
      <c r="P90" s="22">
        <v>1774.068</v>
      </c>
      <c r="Q90" s="40">
        <v>102966</v>
      </c>
      <c r="R90" s="40">
        <v>1672.934</v>
      </c>
      <c r="S90" s="40">
        <v>97821</v>
      </c>
      <c r="T90" s="40">
        <f t="shared" si="39"/>
        <v>5404.7390000000005</v>
      </c>
      <c r="U90" s="40">
        <f t="shared" si="39"/>
        <v>313225</v>
      </c>
      <c r="V90" s="40">
        <v>1531.4549999999999</v>
      </c>
      <c r="W90" s="40">
        <v>89653</v>
      </c>
      <c r="X90" s="40"/>
      <c r="Y90" s="40"/>
      <c r="Z90" s="40"/>
      <c r="AA90" s="40"/>
      <c r="AB90" s="40">
        <f t="shared" si="40"/>
        <v>1531.4549999999999</v>
      </c>
      <c r="AC90" s="40">
        <f t="shared" si="40"/>
        <v>89653</v>
      </c>
      <c r="AD90" s="22"/>
      <c r="AE90" s="22"/>
      <c r="AF90" s="22"/>
      <c r="AG90" s="22"/>
      <c r="AH90" s="22"/>
      <c r="AI90" s="22"/>
      <c r="AJ90" s="21">
        <f>AD90+AF90+AH90</f>
        <v>0</v>
      </c>
      <c r="AK90" s="21">
        <f>AE90+AG90+AI90</f>
        <v>0</v>
      </c>
      <c r="AL90" s="21">
        <f t="shared" si="41"/>
        <v>12656.68</v>
      </c>
      <c r="AM90" s="21">
        <f t="shared" si="41"/>
        <v>739061</v>
      </c>
      <c r="AN90" s="183"/>
      <c r="AO90" s="179"/>
      <c r="AP90" s="130"/>
      <c r="AQ90" s="140"/>
      <c r="AV90" s="4"/>
    </row>
    <row r="91" spans="1:48" s="57" customFormat="1" ht="30.75" customHeight="1">
      <c r="A91" s="176"/>
      <c r="B91" s="176"/>
      <c r="C91" s="178"/>
      <c r="D91" s="178"/>
      <c r="E91" s="39" t="s">
        <v>36</v>
      </c>
      <c r="F91" s="40">
        <v>5932.7359999999999</v>
      </c>
      <c r="G91" s="40">
        <v>368900</v>
      </c>
      <c r="H91" s="40">
        <v>6070.893</v>
      </c>
      <c r="I91" s="40">
        <v>392571</v>
      </c>
      <c r="J91" s="40">
        <v>5610.7849999999999</v>
      </c>
      <c r="K91" s="40">
        <v>354157</v>
      </c>
      <c r="L91" s="40">
        <f t="shared" si="38"/>
        <v>17614.414000000001</v>
      </c>
      <c r="M91" s="40">
        <f t="shared" si="38"/>
        <v>1115628</v>
      </c>
      <c r="N91" s="40">
        <v>6011.0969999999998</v>
      </c>
      <c r="O91" s="40">
        <v>380041</v>
      </c>
      <c r="P91" s="22">
        <v>5703.32</v>
      </c>
      <c r="Q91" s="40">
        <v>362696</v>
      </c>
      <c r="R91" s="40">
        <v>5934.3860000000004</v>
      </c>
      <c r="S91" s="40">
        <v>381079</v>
      </c>
      <c r="T91" s="40">
        <f t="shared" si="39"/>
        <v>17648.803</v>
      </c>
      <c r="U91" s="40">
        <f t="shared" si="39"/>
        <v>1123816</v>
      </c>
      <c r="V91" s="40">
        <v>5716.7960000000003</v>
      </c>
      <c r="W91" s="40">
        <v>370470</v>
      </c>
      <c r="X91" s="40"/>
      <c r="Y91" s="40"/>
      <c r="Z91" s="40"/>
      <c r="AA91" s="40"/>
      <c r="AB91" s="40">
        <f t="shared" si="40"/>
        <v>5716.7960000000003</v>
      </c>
      <c r="AC91" s="40">
        <f t="shared" si="40"/>
        <v>370470</v>
      </c>
      <c r="AD91" s="22"/>
      <c r="AE91" s="22"/>
      <c r="AF91" s="22"/>
      <c r="AG91" s="22"/>
      <c r="AH91" s="22"/>
      <c r="AI91" s="22"/>
      <c r="AJ91" s="21">
        <f>AD91+AF91+AH91</f>
        <v>0</v>
      </c>
      <c r="AK91" s="21">
        <f>AE91+AG91+AI91</f>
        <v>0</v>
      </c>
      <c r="AL91" s="21">
        <f t="shared" si="41"/>
        <v>40980.013000000006</v>
      </c>
      <c r="AM91" s="21">
        <f t="shared" si="41"/>
        <v>2609914</v>
      </c>
      <c r="AN91" s="184"/>
      <c r="AO91" s="180"/>
      <c r="AP91" s="131"/>
      <c r="AQ91" s="141"/>
      <c r="AV91" s="4"/>
    </row>
    <row r="92" spans="1:48" s="36" customFormat="1" ht="14.25" customHeight="1">
      <c r="A92" s="177"/>
      <c r="B92" s="177"/>
      <c r="C92" s="25" t="s">
        <v>37</v>
      </c>
      <c r="D92" s="25"/>
      <c r="E92" s="71"/>
      <c r="F92" s="71">
        <f>SUM(F88:F91)</f>
        <v>18010.606</v>
      </c>
      <c r="G92" s="71">
        <f>SUM(G88:G91)</f>
        <v>755732</v>
      </c>
      <c r="H92" s="71">
        <f>SUM(H88:H91)</f>
        <v>16108.072999999999</v>
      </c>
      <c r="I92" s="71">
        <f>SUM(I88:I91)</f>
        <v>754216</v>
      </c>
      <c r="J92" s="71">
        <f t="shared" ref="J92:L92" si="42">SUM(J88:J91)</f>
        <v>16787.118000000002</v>
      </c>
      <c r="K92" s="71">
        <f t="shared" si="42"/>
        <v>717241</v>
      </c>
      <c r="L92" s="71">
        <f t="shared" si="42"/>
        <v>50905.797000000006</v>
      </c>
      <c r="M92" s="71">
        <f>SUM(M88:M91)</f>
        <v>2227189</v>
      </c>
      <c r="N92" s="71">
        <f>SUM(N88:N91)</f>
        <v>18493.822999999997</v>
      </c>
      <c r="O92" s="71">
        <f t="shared" ref="O92:U92" si="43">SUM(O88:O91)</f>
        <v>772611</v>
      </c>
      <c r="P92" s="71">
        <f>SUM(P88:P91)</f>
        <v>17422.540999999997</v>
      </c>
      <c r="Q92" s="71">
        <f t="shared" si="43"/>
        <v>734124</v>
      </c>
      <c r="R92" s="71">
        <f t="shared" si="43"/>
        <v>17189.552</v>
      </c>
      <c r="S92" s="71">
        <f>SUM(S88:S91)</f>
        <v>747752</v>
      </c>
      <c r="T92" s="71">
        <f>SUM(T88:T91)</f>
        <v>53105.915999999997</v>
      </c>
      <c r="U92" s="71">
        <f t="shared" si="43"/>
        <v>2254487</v>
      </c>
      <c r="V92" s="26">
        <f t="shared" ref="V92:AK92" si="44">V90+V91</f>
        <v>7248.2510000000002</v>
      </c>
      <c r="W92" s="26">
        <f t="shared" si="44"/>
        <v>460123</v>
      </c>
      <c r="X92" s="26">
        <f t="shared" si="44"/>
        <v>0</v>
      </c>
      <c r="Y92" s="26">
        <f t="shared" si="44"/>
        <v>0</v>
      </c>
      <c r="Z92" s="26">
        <f t="shared" si="44"/>
        <v>0</v>
      </c>
      <c r="AA92" s="26">
        <f t="shared" si="44"/>
        <v>0</v>
      </c>
      <c r="AB92" s="26">
        <f t="shared" si="44"/>
        <v>7248.2510000000002</v>
      </c>
      <c r="AC92" s="26">
        <f t="shared" si="44"/>
        <v>460123</v>
      </c>
      <c r="AD92" s="71">
        <f t="shared" si="44"/>
        <v>0</v>
      </c>
      <c r="AE92" s="71">
        <f t="shared" si="44"/>
        <v>0</v>
      </c>
      <c r="AF92" s="71">
        <f t="shared" si="44"/>
        <v>0</v>
      </c>
      <c r="AG92" s="71">
        <f t="shared" si="44"/>
        <v>0</v>
      </c>
      <c r="AH92" s="71">
        <f t="shared" si="44"/>
        <v>0</v>
      </c>
      <c r="AI92" s="71">
        <f t="shared" si="44"/>
        <v>0</v>
      </c>
      <c r="AJ92" s="26">
        <f t="shared" si="44"/>
        <v>0</v>
      </c>
      <c r="AK92" s="71">
        <f t="shared" si="44"/>
        <v>0</v>
      </c>
      <c r="AL92" s="71">
        <f>SUM(AL88:AL91)</f>
        <v>120019.16500000001</v>
      </c>
      <c r="AM92" s="71">
        <f>SUM(AM88:AM91)</f>
        <v>5194212</v>
      </c>
      <c r="AN92" s="27">
        <v>328720</v>
      </c>
      <c r="AO92" s="27">
        <f>AN92/12*$AO$8</f>
        <v>109573.33333333333</v>
      </c>
      <c r="AP92" s="28">
        <f>AL92/AO92</f>
        <v>1.0953318781942079</v>
      </c>
      <c r="AQ92" s="26"/>
      <c r="AV92" s="30"/>
    </row>
    <row r="93" spans="1:48" s="57" customFormat="1" ht="18" customHeight="1">
      <c r="A93" s="134">
        <f>+A88+1</f>
        <v>25</v>
      </c>
      <c r="B93" s="134">
        <f>+B90+1</f>
        <v>27</v>
      </c>
      <c r="C93" s="134" t="s">
        <v>91</v>
      </c>
      <c r="D93" s="134" t="s">
        <v>92</v>
      </c>
      <c r="E93" s="55" t="s">
        <v>35</v>
      </c>
      <c r="F93" s="56">
        <v>4349.8280000000004</v>
      </c>
      <c r="G93" s="47">
        <v>95417</v>
      </c>
      <c r="H93" s="56">
        <v>4209.0709999999999</v>
      </c>
      <c r="I93" s="56">
        <v>101037</v>
      </c>
      <c r="J93" s="56">
        <v>3878.4490000000001</v>
      </c>
      <c r="K93" s="47">
        <v>86860</v>
      </c>
      <c r="L93" s="83">
        <f>F93+H93+J93</f>
        <v>12437.348000000002</v>
      </c>
      <c r="M93" s="89">
        <f>G93+I93+K93</f>
        <v>283314</v>
      </c>
      <c r="N93" s="56">
        <v>3830.232</v>
      </c>
      <c r="O93" s="47">
        <v>85755</v>
      </c>
      <c r="P93" s="56">
        <v>3552.384</v>
      </c>
      <c r="Q93" s="56">
        <v>80946</v>
      </c>
      <c r="R93" s="56">
        <v>3275.0479999999998</v>
      </c>
      <c r="S93" s="56">
        <v>75999</v>
      </c>
      <c r="T93" s="83">
        <f>N93+P93+R93</f>
        <v>10657.664000000001</v>
      </c>
      <c r="U93" s="90">
        <f>O93+Q93+S93</f>
        <v>242700</v>
      </c>
      <c r="V93" s="56">
        <v>3120.136</v>
      </c>
      <c r="W93" s="47">
        <v>74671</v>
      </c>
      <c r="X93" s="56"/>
      <c r="Y93" s="47"/>
      <c r="Z93" s="56"/>
      <c r="AA93" s="47"/>
      <c r="AB93" s="83">
        <f>V93+X93+Z93</f>
        <v>3120.136</v>
      </c>
      <c r="AC93" s="89">
        <f>W93+Y93+AA93</f>
        <v>74671</v>
      </c>
      <c r="AD93" s="56"/>
      <c r="AE93" s="47"/>
      <c r="AF93" s="56"/>
      <c r="AG93" s="56"/>
      <c r="AH93" s="56"/>
      <c r="AI93" s="56"/>
      <c r="AJ93" s="83">
        <f>AD93+AF93+AH93</f>
        <v>0</v>
      </c>
      <c r="AK93" s="89">
        <f>AE93+AG93+AI93</f>
        <v>0</v>
      </c>
      <c r="AL93" s="91">
        <f>L93+T93+AB93+AJ93</f>
        <v>26215.148000000001</v>
      </c>
      <c r="AM93" s="91">
        <f>M93+U93+AC93+AK93</f>
        <v>600685</v>
      </c>
      <c r="AN93" s="136"/>
      <c r="AO93" s="149"/>
      <c r="AP93" s="92"/>
      <c r="AQ93" s="83"/>
      <c r="AV93" s="4"/>
    </row>
    <row r="94" spans="1:48" s="57" customFormat="1" ht="23.25" customHeight="1">
      <c r="A94" s="134"/>
      <c r="B94" s="134"/>
      <c r="C94" s="134"/>
      <c r="D94" s="134"/>
      <c r="E94" s="55" t="s">
        <v>36</v>
      </c>
      <c r="F94" s="56">
        <v>20126.266</v>
      </c>
      <c r="G94" s="47">
        <v>423016</v>
      </c>
      <c r="H94" s="56">
        <v>20246.569</v>
      </c>
      <c r="I94" s="56">
        <v>456892</v>
      </c>
      <c r="J94" s="56">
        <v>19055.138999999999</v>
      </c>
      <c r="K94" s="47">
        <v>406287</v>
      </c>
      <c r="L94" s="83">
        <f>F94+H94+J94</f>
        <v>59427.974000000002</v>
      </c>
      <c r="M94" s="89">
        <f>G94+I94+K94</f>
        <v>1286195</v>
      </c>
      <c r="N94" s="56">
        <v>17846.219000000001</v>
      </c>
      <c r="O94" s="47">
        <v>383962</v>
      </c>
      <c r="P94" s="56">
        <v>22007.739000000001</v>
      </c>
      <c r="Q94" s="56">
        <v>468939</v>
      </c>
      <c r="R94" s="56">
        <v>17846.952000000001</v>
      </c>
      <c r="S94" s="56">
        <v>381804</v>
      </c>
      <c r="T94" s="83">
        <f>N94+P94+R94</f>
        <v>57700.91</v>
      </c>
      <c r="U94" s="90">
        <f>O94+Q94+S94</f>
        <v>1234705</v>
      </c>
      <c r="V94" s="56">
        <v>21022.573</v>
      </c>
      <c r="W94" s="47">
        <v>455380</v>
      </c>
      <c r="X94" s="56"/>
      <c r="Y94" s="47"/>
      <c r="Z94" s="56"/>
      <c r="AA94" s="47"/>
      <c r="AB94" s="83">
        <f>V94+X94+Z94</f>
        <v>21022.573</v>
      </c>
      <c r="AC94" s="89">
        <f>W94+Y94+AA94</f>
        <v>455380</v>
      </c>
      <c r="AD94" s="56"/>
      <c r="AE94" s="47"/>
      <c r="AF94" s="56"/>
      <c r="AG94" s="56"/>
      <c r="AH94" s="56"/>
      <c r="AI94" s="56"/>
      <c r="AJ94" s="83">
        <f>AD94+AF94+AH94</f>
        <v>0</v>
      </c>
      <c r="AK94" s="89">
        <f>AE94+AG94+AI94</f>
        <v>0</v>
      </c>
      <c r="AL94" s="91">
        <f>L94+T94+AB94+AJ94</f>
        <v>138151.45699999999</v>
      </c>
      <c r="AM94" s="91">
        <f>M94+U94+AC94+AK94</f>
        <v>2976280</v>
      </c>
      <c r="AN94" s="138"/>
      <c r="AO94" s="150"/>
      <c r="AP94" s="92"/>
      <c r="AQ94" s="83"/>
      <c r="AV94" s="4"/>
    </row>
    <row r="95" spans="1:48" s="63" customFormat="1" ht="17.25" customHeight="1">
      <c r="A95" s="135"/>
      <c r="B95" s="135"/>
      <c r="C95" s="59" t="s">
        <v>37</v>
      </c>
      <c r="D95" s="59"/>
      <c r="E95" s="60"/>
      <c r="F95" s="60">
        <f t="shared" ref="F95:AM95" si="45">SUM(F93:F94)</f>
        <v>24476.094000000001</v>
      </c>
      <c r="G95" s="60">
        <f t="shared" si="45"/>
        <v>518433</v>
      </c>
      <c r="H95" s="60">
        <f t="shared" si="45"/>
        <v>24455.64</v>
      </c>
      <c r="I95" s="60">
        <f t="shared" si="45"/>
        <v>557929</v>
      </c>
      <c r="J95" s="60">
        <f t="shared" si="45"/>
        <v>22933.588</v>
      </c>
      <c r="K95" s="60">
        <f t="shared" si="45"/>
        <v>493147</v>
      </c>
      <c r="L95" s="60">
        <f t="shared" si="45"/>
        <v>71865.322</v>
      </c>
      <c r="M95" s="60">
        <f t="shared" si="45"/>
        <v>1569509</v>
      </c>
      <c r="N95" s="60">
        <f t="shared" si="45"/>
        <v>21676.451000000001</v>
      </c>
      <c r="O95" s="60">
        <f t="shared" si="45"/>
        <v>469717</v>
      </c>
      <c r="P95" s="60">
        <f t="shared" si="45"/>
        <v>25560.123</v>
      </c>
      <c r="Q95" s="60">
        <f t="shared" si="45"/>
        <v>549885</v>
      </c>
      <c r="R95" s="60">
        <f t="shared" si="45"/>
        <v>21122</v>
      </c>
      <c r="S95" s="60">
        <f t="shared" si="45"/>
        <v>457803</v>
      </c>
      <c r="T95" s="60">
        <f t="shared" si="45"/>
        <v>68358.574000000008</v>
      </c>
      <c r="U95" s="60">
        <f t="shared" si="45"/>
        <v>1477405</v>
      </c>
      <c r="V95" s="62">
        <f t="shared" si="45"/>
        <v>24142.708999999999</v>
      </c>
      <c r="W95" s="62">
        <f t="shared" si="45"/>
        <v>530051</v>
      </c>
      <c r="X95" s="60">
        <f t="shared" si="45"/>
        <v>0</v>
      </c>
      <c r="Y95" s="60">
        <f t="shared" si="45"/>
        <v>0</v>
      </c>
      <c r="Z95" s="60">
        <f t="shared" si="45"/>
        <v>0</v>
      </c>
      <c r="AA95" s="60">
        <f t="shared" si="45"/>
        <v>0</v>
      </c>
      <c r="AB95" s="60">
        <f t="shared" si="45"/>
        <v>24142.708999999999</v>
      </c>
      <c r="AC95" s="60">
        <f t="shared" si="45"/>
        <v>530051</v>
      </c>
      <c r="AD95" s="60">
        <f t="shared" si="45"/>
        <v>0</v>
      </c>
      <c r="AE95" s="60">
        <f t="shared" si="45"/>
        <v>0</v>
      </c>
      <c r="AF95" s="60">
        <f t="shared" si="45"/>
        <v>0</v>
      </c>
      <c r="AG95" s="60">
        <f t="shared" si="45"/>
        <v>0</v>
      </c>
      <c r="AH95" s="60">
        <f t="shared" si="45"/>
        <v>0</v>
      </c>
      <c r="AI95" s="60">
        <f>SUM(AI93:AI94)</f>
        <v>0</v>
      </c>
      <c r="AJ95" s="60">
        <f t="shared" si="45"/>
        <v>0</v>
      </c>
      <c r="AK95" s="60">
        <f t="shared" si="45"/>
        <v>0</v>
      </c>
      <c r="AL95" s="60">
        <f t="shared" si="45"/>
        <v>164366.60499999998</v>
      </c>
      <c r="AM95" s="60">
        <f t="shared" si="45"/>
        <v>3576965</v>
      </c>
      <c r="AN95" s="27">
        <v>509986</v>
      </c>
      <c r="AO95" s="27">
        <f>AN95/12*$AO$8</f>
        <v>169995.33333333334</v>
      </c>
      <c r="AP95" s="28">
        <f>AL95/AO95</f>
        <v>0.96688892440184615</v>
      </c>
      <c r="AQ95" s="62"/>
      <c r="AV95" s="30"/>
    </row>
    <row r="96" spans="1:48" s="57" customFormat="1" ht="49.5" customHeight="1">
      <c r="A96" s="145">
        <f>+A93+1</f>
        <v>26</v>
      </c>
      <c r="B96" s="145">
        <f>+B93+1</f>
        <v>28</v>
      </c>
      <c r="C96" s="145" t="s">
        <v>93</v>
      </c>
      <c r="D96" s="145" t="s">
        <v>94</v>
      </c>
      <c r="E96" s="39" t="s">
        <v>35</v>
      </c>
      <c r="F96" s="22">
        <v>2095.4409999999998</v>
      </c>
      <c r="G96" s="22">
        <v>57281</v>
      </c>
      <c r="H96" s="22">
        <v>2044.578</v>
      </c>
      <c r="I96" s="22">
        <v>59518</v>
      </c>
      <c r="J96" s="22">
        <v>1888.184</v>
      </c>
      <c r="K96" s="22">
        <v>1713</v>
      </c>
      <c r="L96" s="21">
        <f>F96+H96+J96</f>
        <v>6028.2030000000004</v>
      </c>
      <c r="M96" s="21">
        <f>G96+I96+K96</f>
        <v>118512</v>
      </c>
      <c r="N96" s="22">
        <v>1791.692</v>
      </c>
      <c r="O96" s="22">
        <v>50834</v>
      </c>
      <c r="P96" s="22">
        <v>1777.241</v>
      </c>
      <c r="Q96" s="22">
        <v>49415</v>
      </c>
      <c r="R96" s="22">
        <v>1661.223</v>
      </c>
      <c r="S96" s="22">
        <v>46622</v>
      </c>
      <c r="T96" s="21">
        <f>N96+P96+R96</f>
        <v>5230.1559999999999</v>
      </c>
      <c r="U96" s="22">
        <f>O96+Q96+S96</f>
        <v>146871</v>
      </c>
      <c r="V96" s="22">
        <v>1566.6379999999999</v>
      </c>
      <c r="W96" s="22">
        <v>44307</v>
      </c>
      <c r="X96" s="22"/>
      <c r="Y96" s="22"/>
      <c r="Z96" s="22"/>
      <c r="AA96" s="22"/>
      <c r="AB96" s="21">
        <f>V96+X96+Z96</f>
        <v>1566.6379999999999</v>
      </c>
      <c r="AC96" s="21">
        <f>W96+Y96+AA96</f>
        <v>44307</v>
      </c>
      <c r="AD96" s="22"/>
      <c r="AE96" s="22"/>
      <c r="AF96" s="22"/>
      <c r="AG96" s="22"/>
      <c r="AH96" s="22"/>
      <c r="AI96" s="22"/>
      <c r="AJ96" s="21">
        <f>AD96+AF96+AH96</f>
        <v>0</v>
      </c>
      <c r="AK96" s="21">
        <f>AE96+AG96+AI96</f>
        <v>0</v>
      </c>
      <c r="AL96" s="21">
        <f>L96+T96+AB96+AJ96</f>
        <v>12824.996999999999</v>
      </c>
      <c r="AM96" s="21">
        <f>M96+U96+AC96+AK96</f>
        <v>309690</v>
      </c>
      <c r="AN96" s="149"/>
      <c r="AO96" s="149"/>
      <c r="AP96" s="130"/>
      <c r="AQ96" s="132"/>
      <c r="AV96" s="4"/>
    </row>
    <row r="97" spans="1:48" s="57" customFormat="1" ht="51.6" customHeight="1">
      <c r="A97" s="145"/>
      <c r="B97" s="145"/>
      <c r="C97" s="145"/>
      <c r="D97" s="145"/>
      <c r="E97" s="39" t="s">
        <v>36</v>
      </c>
      <c r="F97" s="22">
        <v>7465.1869999999999</v>
      </c>
      <c r="G97" s="22">
        <v>210504</v>
      </c>
      <c r="H97" s="22">
        <v>8406.0519999999997</v>
      </c>
      <c r="I97" s="22">
        <v>251488</v>
      </c>
      <c r="J97" s="22">
        <v>8878.9290000000001</v>
      </c>
      <c r="K97" s="22">
        <v>8160</v>
      </c>
      <c r="L97" s="21">
        <f>F97+H97+J97</f>
        <v>24750.167999999998</v>
      </c>
      <c r="M97" s="21">
        <f>G97+I97+K97</f>
        <v>470152</v>
      </c>
      <c r="N97" s="22">
        <v>7999.58</v>
      </c>
      <c r="O97" s="22">
        <v>231202</v>
      </c>
      <c r="P97" s="22">
        <v>7798.0360000000001</v>
      </c>
      <c r="Q97" s="22">
        <v>220738</v>
      </c>
      <c r="R97" s="22">
        <v>7946.1890000000003</v>
      </c>
      <c r="S97" s="22">
        <v>224248</v>
      </c>
      <c r="T97" s="21">
        <f>N97+P97+R97</f>
        <v>23743.805</v>
      </c>
      <c r="U97" s="22">
        <f>O97+Q97+S97</f>
        <v>676188</v>
      </c>
      <c r="V97" s="22">
        <v>8214.259</v>
      </c>
      <c r="W97" s="22">
        <v>234382</v>
      </c>
      <c r="X97" s="22"/>
      <c r="Y97" s="22"/>
      <c r="Z97" s="22"/>
      <c r="AA97" s="22"/>
      <c r="AB97" s="21">
        <f>V97+X97+Z97</f>
        <v>8214.259</v>
      </c>
      <c r="AC97" s="21">
        <f>W97+Y97+AA97</f>
        <v>234382</v>
      </c>
      <c r="AD97" s="22"/>
      <c r="AE97" s="22"/>
      <c r="AF97" s="22"/>
      <c r="AG97" s="22"/>
      <c r="AH97" s="22"/>
      <c r="AI97" s="22"/>
      <c r="AJ97" s="21">
        <f>AD97+AF97+AH97</f>
        <v>0</v>
      </c>
      <c r="AK97" s="21">
        <f>AE97+AG97+AI97</f>
        <v>0</v>
      </c>
      <c r="AL97" s="21">
        <f>L97+T97+AB97+AJ97</f>
        <v>56708.231999999996</v>
      </c>
      <c r="AM97" s="21">
        <f>M97+U97+AC97+AK97</f>
        <v>1380722</v>
      </c>
      <c r="AN97" s="150"/>
      <c r="AO97" s="150"/>
      <c r="AP97" s="131"/>
      <c r="AQ97" s="133"/>
      <c r="AV97" s="4"/>
    </row>
    <row r="98" spans="1:48" s="63" customFormat="1" ht="16.5" customHeight="1">
      <c r="A98" s="146"/>
      <c r="B98" s="146"/>
      <c r="C98" s="25" t="s">
        <v>37</v>
      </c>
      <c r="D98" s="25"/>
      <c r="E98" s="71"/>
      <c r="F98" s="71">
        <f t="shared" ref="F98:AM98" si="46">SUM(F96:F97)</f>
        <v>9560.6280000000006</v>
      </c>
      <c r="G98" s="71">
        <f t="shared" si="46"/>
        <v>267785</v>
      </c>
      <c r="H98" s="71">
        <f t="shared" si="46"/>
        <v>10450.629999999999</v>
      </c>
      <c r="I98" s="71">
        <f t="shared" si="46"/>
        <v>311006</v>
      </c>
      <c r="J98" s="71">
        <f t="shared" si="46"/>
        <v>10767.112999999999</v>
      </c>
      <c r="K98" s="71">
        <f t="shared" si="46"/>
        <v>9873</v>
      </c>
      <c r="L98" s="71">
        <f t="shared" si="46"/>
        <v>30778.370999999999</v>
      </c>
      <c r="M98" s="71">
        <f t="shared" si="46"/>
        <v>588664</v>
      </c>
      <c r="N98" s="71">
        <f t="shared" si="46"/>
        <v>9791.2720000000008</v>
      </c>
      <c r="O98" s="71">
        <f t="shared" si="46"/>
        <v>282036</v>
      </c>
      <c r="P98" s="71">
        <f t="shared" si="46"/>
        <v>9575.277</v>
      </c>
      <c r="Q98" s="71">
        <f t="shared" si="46"/>
        <v>270153</v>
      </c>
      <c r="R98" s="71">
        <f t="shared" si="46"/>
        <v>9607.4120000000003</v>
      </c>
      <c r="S98" s="71">
        <f t="shared" si="46"/>
        <v>270870</v>
      </c>
      <c r="T98" s="71">
        <f t="shared" si="46"/>
        <v>28973.960999999999</v>
      </c>
      <c r="U98" s="71">
        <f t="shared" si="46"/>
        <v>823059</v>
      </c>
      <c r="V98" s="71">
        <f t="shared" si="46"/>
        <v>9780.8970000000008</v>
      </c>
      <c r="W98" s="71">
        <f t="shared" si="46"/>
        <v>278689</v>
      </c>
      <c r="X98" s="71">
        <f t="shared" si="46"/>
        <v>0</v>
      </c>
      <c r="Y98" s="71">
        <f t="shared" si="46"/>
        <v>0</v>
      </c>
      <c r="Z98" s="71">
        <f t="shared" si="46"/>
        <v>0</v>
      </c>
      <c r="AA98" s="71">
        <f t="shared" si="46"/>
        <v>0</v>
      </c>
      <c r="AB98" s="71">
        <f t="shared" si="46"/>
        <v>9780.8970000000008</v>
      </c>
      <c r="AC98" s="71">
        <f t="shared" si="46"/>
        <v>278689</v>
      </c>
      <c r="AD98" s="71">
        <f t="shared" si="46"/>
        <v>0</v>
      </c>
      <c r="AE98" s="71">
        <f t="shared" si="46"/>
        <v>0</v>
      </c>
      <c r="AF98" s="71">
        <f t="shared" si="46"/>
        <v>0</v>
      </c>
      <c r="AG98" s="71">
        <f t="shared" si="46"/>
        <v>0</v>
      </c>
      <c r="AH98" s="71">
        <f t="shared" si="46"/>
        <v>0</v>
      </c>
      <c r="AI98" s="71">
        <f t="shared" si="46"/>
        <v>0</v>
      </c>
      <c r="AJ98" s="71">
        <f t="shared" si="46"/>
        <v>0</v>
      </c>
      <c r="AK98" s="71">
        <f t="shared" si="46"/>
        <v>0</v>
      </c>
      <c r="AL98" s="71">
        <f t="shared" si="46"/>
        <v>69533.228999999992</v>
      </c>
      <c r="AM98" s="71">
        <f t="shared" si="46"/>
        <v>1690412</v>
      </c>
      <c r="AN98" s="27">
        <v>193540</v>
      </c>
      <c r="AO98" s="27">
        <f>AN98/12*$AO$8</f>
        <v>64513.333333333336</v>
      </c>
      <c r="AP98" s="28">
        <f>AL98/AO98</f>
        <v>1.0778117546760357</v>
      </c>
      <c r="AQ98" s="26"/>
      <c r="AV98" s="30"/>
    </row>
    <row r="99" spans="1:48" s="57" customFormat="1" ht="48" customHeight="1">
      <c r="A99" s="134">
        <f>+A96+1</f>
        <v>27</v>
      </c>
      <c r="B99" s="134">
        <f>+B96+1</f>
        <v>29</v>
      </c>
      <c r="C99" s="186" t="s">
        <v>95</v>
      </c>
      <c r="D99" s="134" t="s">
        <v>96</v>
      </c>
      <c r="E99" s="55" t="s">
        <v>35</v>
      </c>
      <c r="F99" s="56">
        <v>1551.7249999999999</v>
      </c>
      <c r="G99" s="56">
        <f>43967+1418</f>
        <v>45385</v>
      </c>
      <c r="H99" s="56">
        <v>1650.8489999999999</v>
      </c>
      <c r="I99" s="56">
        <f>49652</f>
        <v>49652</v>
      </c>
      <c r="J99" s="56">
        <v>1592.675</v>
      </c>
      <c r="K99" s="56">
        <v>1456</v>
      </c>
      <c r="L99" s="83">
        <f>F99+H99+J99</f>
        <v>4795.2489999999998</v>
      </c>
      <c r="M99" s="83">
        <f>G99+I99+K99</f>
        <v>96493</v>
      </c>
      <c r="N99" s="56">
        <v>1467.0889999999999</v>
      </c>
      <c r="O99" s="56">
        <v>41318</v>
      </c>
      <c r="P99" s="56">
        <v>1413.9480000000001</v>
      </c>
      <c r="Q99" s="56">
        <v>39641</v>
      </c>
      <c r="R99" s="56">
        <v>1358.3130000000001</v>
      </c>
      <c r="S99" s="56">
        <v>37967</v>
      </c>
      <c r="T99" s="83">
        <f>N99+P99+R99</f>
        <v>4239.3500000000004</v>
      </c>
      <c r="U99" s="56">
        <f>O99+Q99+S99</f>
        <v>118926</v>
      </c>
      <c r="V99" s="56">
        <v>1262.7670000000001</v>
      </c>
      <c r="W99" s="56">
        <f>35937</f>
        <v>35937</v>
      </c>
      <c r="X99" s="56"/>
      <c r="Y99" s="56"/>
      <c r="Z99" s="56"/>
      <c r="AA99" s="56"/>
      <c r="AB99" s="83">
        <f>V99+X99+Z99</f>
        <v>1262.7670000000001</v>
      </c>
      <c r="AC99" s="83">
        <f>W99+Y99+AA99</f>
        <v>35937</v>
      </c>
      <c r="AD99" s="56"/>
      <c r="AE99" s="56"/>
      <c r="AF99" s="56"/>
      <c r="AG99" s="56"/>
      <c r="AH99" s="56"/>
      <c r="AI99" s="56"/>
      <c r="AJ99" s="83">
        <f>AD99+AF99+AH99</f>
        <v>0</v>
      </c>
      <c r="AK99" s="83">
        <f>AE99+AG99+AI99</f>
        <v>0</v>
      </c>
      <c r="AL99" s="83">
        <f>L99+T99+AB99+AJ99</f>
        <v>10297.366</v>
      </c>
      <c r="AM99" s="83">
        <f>M99+U99+AC99+AK99</f>
        <v>251356</v>
      </c>
      <c r="AN99" s="136"/>
      <c r="AO99" s="136"/>
      <c r="AP99" s="142"/>
      <c r="AQ99" s="139"/>
      <c r="AV99" s="4"/>
    </row>
    <row r="100" spans="1:48" s="57" customFormat="1" ht="48" customHeight="1">
      <c r="A100" s="134"/>
      <c r="B100" s="134"/>
      <c r="C100" s="186"/>
      <c r="D100" s="134"/>
      <c r="E100" s="55" t="s">
        <v>36</v>
      </c>
      <c r="F100" s="56">
        <v>4169.8450000000003</v>
      </c>
      <c r="G100" s="56">
        <f>118672+3828</f>
        <v>122500</v>
      </c>
      <c r="H100" s="56">
        <v>5580.4380000000001</v>
      </c>
      <c r="I100" s="56">
        <f>168887</f>
        <v>168887</v>
      </c>
      <c r="J100" s="56">
        <v>5724.4129999999996</v>
      </c>
      <c r="K100" s="56">
        <v>5276</v>
      </c>
      <c r="L100" s="83">
        <f>F100+H100+J100</f>
        <v>15474.696</v>
      </c>
      <c r="M100" s="83">
        <f>G100+I100+K100</f>
        <v>296663</v>
      </c>
      <c r="N100" s="56">
        <v>4735.0069999999996</v>
      </c>
      <c r="O100" s="56">
        <v>139383</v>
      </c>
      <c r="P100" s="56">
        <v>4593.79</v>
      </c>
      <c r="Q100" s="56">
        <v>129785</v>
      </c>
      <c r="R100" s="56">
        <v>4845.1509999999998</v>
      </c>
      <c r="S100" s="56">
        <v>136068</v>
      </c>
      <c r="T100" s="83">
        <f>N100+P100+R100</f>
        <v>14173.947999999999</v>
      </c>
      <c r="U100" s="56">
        <f>O100+Q100+S100</f>
        <v>405236</v>
      </c>
      <c r="V100" s="56">
        <v>4919.8590000000004</v>
      </c>
      <c r="W100" s="56">
        <f>140434</f>
        <v>140434</v>
      </c>
      <c r="X100" s="56"/>
      <c r="Y100" s="56"/>
      <c r="Z100" s="56"/>
      <c r="AA100" s="56"/>
      <c r="AB100" s="83">
        <f>V100+X100+Z100</f>
        <v>4919.8590000000004</v>
      </c>
      <c r="AC100" s="83">
        <f>W100+Y100+AA100</f>
        <v>140434</v>
      </c>
      <c r="AD100" s="56"/>
      <c r="AE100" s="56"/>
      <c r="AF100" s="56"/>
      <c r="AG100" s="56"/>
      <c r="AH100" s="56"/>
      <c r="AI100" s="56"/>
      <c r="AJ100" s="83">
        <f>AD100+AF100+AH100</f>
        <v>0</v>
      </c>
      <c r="AK100" s="83">
        <f>AE100+AG100+AI100</f>
        <v>0</v>
      </c>
      <c r="AL100" s="83">
        <f>L100+T100+AB100+AJ100</f>
        <v>34568.502999999997</v>
      </c>
      <c r="AM100" s="83">
        <f>M100+U100+AC100+AK100</f>
        <v>842333</v>
      </c>
      <c r="AN100" s="138"/>
      <c r="AO100" s="138"/>
      <c r="AP100" s="144"/>
      <c r="AQ100" s="141"/>
      <c r="AV100" s="4"/>
    </row>
    <row r="101" spans="1:48" s="63" customFormat="1" ht="16.5" customHeight="1">
      <c r="A101" s="135"/>
      <c r="B101" s="135"/>
      <c r="C101" s="59" t="s">
        <v>37</v>
      </c>
      <c r="D101" s="59"/>
      <c r="E101" s="93"/>
      <c r="F101" s="60">
        <f t="shared" ref="F101:AM101" si="47">SUM(F99:F100)</f>
        <v>5721.57</v>
      </c>
      <c r="G101" s="60">
        <f t="shared" si="47"/>
        <v>167885</v>
      </c>
      <c r="H101" s="60">
        <f t="shared" si="47"/>
        <v>7231.2870000000003</v>
      </c>
      <c r="I101" s="60">
        <f t="shared" si="47"/>
        <v>218539</v>
      </c>
      <c r="J101" s="60">
        <f t="shared" si="47"/>
        <v>7317.0879999999997</v>
      </c>
      <c r="K101" s="60">
        <f t="shared" si="47"/>
        <v>6732</v>
      </c>
      <c r="L101" s="60">
        <f t="shared" si="47"/>
        <v>20269.945</v>
      </c>
      <c r="M101" s="60">
        <f t="shared" si="47"/>
        <v>393156</v>
      </c>
      <c r="N101" s="60">
        <f>SUM(N99:N100)</f>
        <v>6202.0959999999995</v>
      </c>
      <c r="O101" s="60">
        <f t="shared" si="47"/>
        <v>180701</v>
      </c>
      <c r="P101" s="60">
        <f t="shared" si="47"/>
        <v>6007.7380000000003</v>
      </c>
      <c r="Q101" s="60">
        <f t="shared" si="47"/>
        <v>169426</v>
      </c>
      <c r="R101" s="60">
        <f t="shared" si="47"/>
        <v>6203.4639999999999</v>
      </c>
      <c r="S101" s="60">
        <f t="shared" si="47"/>
        <v>174035</v>
      </c>
      <c r="T101" s="60">
        <f t="shared" si="47"/>
        <v>18413.297999999999</v>
      </c>
      <c r="U101" s="60">
        <f t="shared" si="47"/>
        <v>524162</v>
      </c>
      <c r="V101" s="62">
        <f t="shared" si="47"/>
        <v>6182.6260000000002</v>
      </c>
      <c r="W101" s="62">
        <f t="shared" si="47"/>
        <v>176371</v>
      </c>
      <c r="X101" s="60">
        <f t="shared" si="47"/>
        <v>0</v>
      </c>
      <c r="Y101" s="60">
        <f t="shared" si="47"/>
        <v>0</v>
      </c>
      <c r="Z101" s="60">
        <f t="shared" si="47"/>
        <v>0</v>
      </c>
      <c r="AA101" s="60">
        <f t="shared" si="47"/>
        <v>0</v>
      </c>
      <c r="AB101" s="60">
        <f t="shared" si="47"/>
        <v>6182.6260000000002</v>
      </c>
      <c r="AC101" s="60">
        <f t="shared" si="47"/>
        <v>176371</v>
      </c>
      <c r="AD101" s="60">
        <f t="shared" si="47"/>
        <v>0</v>
      </c>
      <c r="AE101" s="60">
        <f t="shared" si="47"/>
        <v>0</v>
      </c>
      <c r="AF101" s="60">
        <f t="shared" si="47"/>
        <v>0</v>
      </c>
      <c r="AG101" s="60">
        <f t="shared" si="47"/>
        <v>0</v>
      </c>
      <c r="AH101" s="60">
        <f t="shared" si="47"/>
        <v>0</v>
      </c>
      <c r="AI101" s="60">
        <f t="shared" si="47"/>
        <v>0</v>
      </c>
      <c r="AJ101" s="60">
        <f t="shared" si="47"/>
        <v>0</v>
      </c>
      <c r="AK101" s="60">
        <f t="shared" si="47"/>
        <v>0</v>
      </c>
      <c r="AL101" s="60">
        <f t="shared" si="47"/>
        <v>44865.868999999999</v>
      </c>
      <c r="AM101" s="60">
        <f t="shared" si="47"/>
        <v>1093689</v>
      </c>
      <c r="AN101" s="27">
        <v>132160</v>
      </c>
      <c r="AO101" s="27">
        <f>AN101/12*$AO$8</f>
        <v>44053.333333333336</v>
      </c>
      <c r="AP101" s="28">
        <f>AL101/AO101</f>
        <v>1.0184443628934623</v>
      </c>
      <c r="AQ101" s="62"/>
      <c r="AV101" s="30"/>
    </row>
    <row r="102" spans="1:48" s="57" customFormat="1" ht="18.75" customHeight="1">
      <c r="A102" s="54"/>
      <c r="B102" s="54"/>
      <c r="C102" s="94" t="s">
        <v>97</v>
      </c>
      <c r="D102" s="54"/>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6"/>
      <c r="AQ102" s="95"/>
      <c r="AV102" s="4"/>
    </row>
    <row r="103" spans="1:48" s="57" customFormat="1" ht="24.75" customHeight="1">
      <c r="A103" s="145">
        <f>A99+1</f>
        <v>28</v>
      </c>
      <c r="B103" s="145">
        <f>B99+1</f>
        <v>30</v>
      </c>
      <c r="C103" s="145" t="s">
        <v>98</v>
      </c>
      <c r="D103" s="145" t="s">
        <v>99</v>
      </c>
      <c r="E103" s="39" t="s">
        <v>35</v>
      </c>
      <c r="F103" s="22">
        <v>328.71600000000001</v>
      </c>
      <c r="G103" s="40">
        <v>31465</v>
      </c>
      <c r="H103" s="22">
        <v>271.20999999999998</v>
      </c>
      <c r="I103" s="22">
        <v>27250</v>
      </c>
      <c r="J103" s="22">
        <v>298.21600000000001</v>
      </c>
      <c r="K103" s="22">
        <v>28811</v>
      </c>
      <c r="L103" s="21">
        <f>F103+H103+J103</f>
        <v>898.14199999999994</v>
      </c>
      <c r="M103" s="21">
        <f>G103+I103+K103</f>
        <v>87526</v>
      </c>
      <c r="N103" s="22">
        <v>303.464</v>
      </c>
      <c r="O103" s="22">
        <v>29359</v>
      </c>
      <c r="P103" s="22">
        <v>305.57299999999998</v>
      </c>
      <c r="Q103" s="22">
        <v>29225</v>
      </c>
      <c r="R103" s="22">
        <v>303.255</v>
      </c>
      <c r="S103" s="22">
        <v>30704</v>
      </c>
      <c r="T103" s="21">
        <f>N103+P103+R103</f>
        <v>912.29200000000003</v>
      </c>
      <c r="U103" s="22">
        <f>O103+Q103+S103</f>
        <v>89288</v>
      </c>
      <c r="V103" s="22">
        <v>321</v>
      </c>
      <c r="W103" s="22">
        <v>31751</v>
      </c>
      <c r="X103" s="22"/>
      <c r="Y103" s="22"/>
      <c r="Z103" s="22"/>
      <c r="AA103" s="22"/>
      <c r="AB103" s="21">
        <f>V103+X103+Z103</f>
        <v>321</v>
      </c>
      <c r="AC103" s="21">
        <f>W103+Y103+AA103</f>
        <v>31751</v>
      </c>
      <c r="AD103" s="22"/>
      <c r="AE103" s="22"/>
      <c r="AF103" s="22"/>
      <c r="AG103" s="22"/>
      <c r="AH103" s="22"/>
      <c r="AI103" s="40"/>
      <c r="AJ103" s="21">
        <f>AD103+AF103+AH103</f>
        <v>0</v>
      </c>
      <c r="AK103" s="41">
        <f>AE103+AG103+AI103</f>
        <v>0</v>
      </c>
      <c r="AL103" s="97">
        <f>L103+T103+AB103+AJ103</f>
        <v>2131.4340000000002</v>
      </c>
      <c r="AM103" s="97">
        <f>M103+U103+AC103+AK103</f>
        <v>208565</v>
      </c>
      <c r="AN103" s="149"/>
      <c r="AO103" s="132"/>
      <c r="AP103" s="130"/>
      <c r="AQ103" s="132"/>
      <c r="AV103" s="4"/>
    </row>
    <row r="104" spans="1:48" s="57" customFormat="1" ht="24.75" customHeight="1">
      <c r="A104" s="145"/>
      <c r="B104" s="145"/>
      <c r="C104" s="145"/>
      <c r="D104" s="145"/>
      <c r="E104" s="39" t="s">
        <v>36</v>
      </c>
      <c r="F104" s="22">
        <v>8430.2209999999995</v>
      </c>
      <c r="G104" s="40">
        <v>821020</v>
      </c>
      <c r="H104" s="22">
        <v>8507.8950000000004</v>
      </c>
      <c r="I104" s="22">
        <v>861265</v>
      </c>
      <c r="J104" s="22">
        <v>8793.5990000000002</v>
      </c>
      <c r="K104" s="22">
        <v>853217</v>
      </c>
      <c r="L104" s="21">
        <f>F104+H104+J104</f>
        <v>25731.715000000004</v>
      </c>
      <c r="M104" s="21">
        <f>G104+I104+K104</f>
        <v>2535502</v>
      </c>
      <c r="N104" s="22">
        <v>8513.3559999999998</v>
      </c>
      <c r="O104" s="22">
        <v>823806</v>
      </c>
      <c r="P104" s="22">
        <v>8506.7250000000004</v>
      </c>
      <c r="Q104" s="22">
        <v>826302</v>
      </c>
      <c r="R104" s="22">
        <v>8842.1280000000006</v>
      </c>
      <c r="S104" s="22">
        <v>859567</v>
      </c>
      <c r="T104" s="21">
        <f>N104+P104+R104</f>
        <v>25862.208999999999</v>
      </c>
      <c r="U104" s="22">
        <f>O104+Q104+S104</f>
        <v>2509675</v>
      </c>
      <c r="V104" s="22">
        <v>9054</v>
      </c>
      <c r="W104" s="22">
        <v>898744</v>
      </c>
      <c r="X104" s="22"/>
      <c r="Y104" s="22"/>
      <c r="Z104" s="22"/>
      <c r="AA104" s="22"/>
      <c r="AB104" s="21">
        <f>V104+X104+Z104</f>
        <v>9054</v>
      </c>
      <c r="AC104" s="21">
        <f>W104+Y104+AA104</f>
        <v>898744</v>
      </c>
      <c r="AD104" s="22"/>
      <c r="AE104" s="22"/>
      <c r="AF104" s="22"/>
      <c r="AG104" s="22"/>
      <c r="AH104" s="22"/>
      <c r="AI104" s="40"/>
      <c r="AJ104" s="21">
        <f>AD104+AF104+AH104</f>
        <v>0</v>
      </c>
      <c r="AK104" s="41">
        <f>AE104+AG104+AI104</f>
        <v>0</v>
      </c>
      <c r="AL104" s="97">
        <f>L104+T104+AB104+AJ104</f>
        <v>60647.923999999999</v>
      </c>
      <c r="AM104" s="97">
        <f>M104+U104+AC104+AK104</f>
        <v>5943921</v>
      </c>
      <c r="AN104" s="150"/>
      <c r="AO104" s="133"/>
      <c r="AP104" s="131"/>
      <c r="AQ104" s="133"/>
      <c r="AV104" s="4"/>
    </row>
    <row r="105" spans="1:48" s="63" customFormat="1" ht="12.75" customHeight="1">
      <c r="A105" s="146"/>
      <c r="B105" s="146"/>
      <c r="C105" s="25" t="s">
        <v>37</v>
      </c>
      <c r="D105" s="25"/>
      <c r="E105" s="71"/>
      <c r="F105" s="71">
        <f t="shared" ref="F105:AM105" si="48">SUM(F103:F104)</f>
        <v>8758.9369999999999</v>
      </c>
      <c r="G105" s="71">
        <f t="shared" si="48"/>
        <v>852485</v>
      </c>
      <c r="H105" s="71">
        <f t="shared" si="48"/>
        <v>8779.1049999999996</v>
      </c>
      <c r="I105" s="71">
        <f t="shared" si="48"/>
        <v>888515</v>
      </c>
      <c r="J105" s="71">
        <f t="shared" si="48"/>
        <v>9091.8150000000005</v>
      </c>
      <c r="K105" s="71">
        <f t="shared" si="48"/>
        <v>882028</v>
      </c>
      <c r="L105" s="71">
        <f t="shared" si="48"/>
        <v>26629.857000000004</v>
      </c>
      <c r="M105" s="71">
        <f t="shared" si="48"/>
        <v>2623028</v>
      </c>
      <c r="N105" s="71">
        <f t="shared" si="48"/>
        <v>8816.82</v>
      </c>
      <c r="O105" s="71">
        <f t="shared" si="48"/>
        <v>853165</v>
      </c>
      <c r="P105" s="71">
        <f t="shared" si="48"/>
        <v>8812.2980000000007</v>
      </c>
      <c r="Q105" s="71">
        <f t="shared" si="48"/>
        <v>855527</v>
      </c>
      <c r="R105" s="71">
        <f t="shared" si="48"/>
        <v>9145.3829999999998</v>
      </c>
      <c r="S105" s="71">
        <f t="shared" si="48"/>
        <v>890271</v>
      </c>
      <c r="T105" s="71">
        <f t="shared" si="48"/>
        <v>26774.501</v>
      </c>
      <c r="U105" s="71">
        <f t="shared" si="48"/>
        <v>2598963</v>
      </c>
      <c r="V105" s="26">
        <f t="shared" si="48"/>
        <v>9375</v>
      </c>
      <c r="W105" s="26">
        <f t="shared" si="48"/>
        <v>930495</v>
      </c>
      <c r="X105" s="71">
        <f t="shared" si="48"/>
        <v>0</v>
      </c>
      <c r="Y105" s="71">
        <f t="shared" si="48"/>
        <v>0</v>
      </c>
      <c r="Z105" s="71">
        <f t="shared" si="48"/>
        <v>0</v>
      </c>
      <c r="AA105" s="71">
        <f t="shared" si="48"/>
        <v>0</v>
      </c>
      <c r="AB105" s="71">
        <f t="shared" si="48"/>
        <v>9375</v>
      </c>
      <c r="AC105" s="71">
        <f t="shared" si="48"/>
        <v>930495</v>
      </c>
      <c r="AD105" s="71">
        <f t="shared" si="48"/>
        <v>0</v>
      </c>
      <c r="AE105" s="71">
        <f t="shared" si="48"/>
        <v>0</v>
      </c>
      <c r="AF105" s="71">
        <f t="shared" si="48"/>
        <v>0</v>
      </c>
      <c r="AG105" s="71">
        <f t="shared" si="48"/>
        <v>0</v>
      </c>
      <c r="AH105" s="71">
        <f t="shared" si="48"/>
        <v>0</v>
      </c>
      <c r="AI105" s="71">
        <f t="shared" si="48"/>
        <v>0</v>
      </c>
      <c r="AJ105" s="71">
        <f t="shared" si="48"/>
        <v>0</v>
      </c>
      <c r="AK105" s="71">
        <f t="shared" si="48"/>
        <v>0</v>
      </c>
      <c r="AL105" s="71">
        <f t="shared" si="48"/>
        <v>62779.358</v>
      </c>
      <c r="AM105" s="71">
        <f t="shared" si="48"/>
        <v>6152486</v>
      </c>
      <c r="AN105" s="27">
        <v>156926</v>
      </c>
      <c r="AO105" s="27">
        <f>AN105/12*$AO$8</f>
        <v>52308.666666666664</v>
      </c>
      <c r="AP105" s="28">
        <f>AL105/AO105</f>
        <v>1.2001712526923518</v>
      </c>
      <c r="AQ105" s="26"/>
      <c r="AV105" s="30"/>
    </row>
    <row r="106" spans="1:48" s="57" customFormat="1" ht="40.5" customHeight="1">
      <c r="A106" s="134">
        <f>A103+1</f>
        <v>29</v>
      </c>
      <c r="B106" s="157">
        <f>B103+1</f>
        <v>31</v>
      </c>
      <c r="C106" s="134" t="s">
        <v>100</v>
      </c>
      <c r="D106" s="134" t="s">
        <v>101</v>
      </c>
      <c r="E106" s="55" t="s">
        <v>35</v>
      </c>
      <c r="F106" s="56">
        <v>715.37300000000005</v>
      </c>
      <c r="G106" s="56">
        <f>3879+3506+2183+519+755+542</f>
        <v>11384</v>
      </c>
      <c r="H106" s="56">
        <v>511.98099999999999</v>
      </c>
      <c r="I106" s="56">
        <f>8262+473</f>
        <v>8735</v>
      </c>
      <c r="J106" s="33">
        <v>668.07299999999998</v>
      </c>
      <c r="K106" s="33">
        <f>9775+468</f>
        <v>10243</v>
      </c>
      <c r="L106" s="83">
        <f>F106+H106+J106</f>
        <v>1895.4270000000001</v>
      </c>
      <c r="M106" s="83">
        <f>G106+I106+K106</f>
        <v>30362</v>
      </c>
      <c r="N106" s="56">
        <v>612.77300000000002</v>
      </c>
      <c r="O106" s="56">
        <f>9293+489</f>
        <v>9782</v>
      </c>
      <c r="P106" s="56">
        <v>595.71600000000001</v>
      </c>
      <c r="Q106" s="56">
        <f>8947+358</f>
        <v>9305</v>
      </c>
      <c r="R106" s="56">
        <v>567.61699999999996</v>
      </c>
      <c r="S106" s="56">
        <f>8327+392</f>
        <v>8719</v>
      </c>
      <c r="T106" s="83">
        <f>N106+P106+R106</f>
        <v>1776.106</v>
      </c>
      <c r="U106" s="56">
        <f>O106+Q106+S106</f>
        <v>27806</v>
      </c>
      <c r="V106" s="56">
        <v>557</v>
      </c>
      <c r="W106" s="56">
        <f>80413+239</f>
        <v>80652</v>
      </c>
      <c r="X106" s="56"/>
      <c r="Y106" s="56"/>
      <c r="Z106" s="56"/>
      <c r="AA106" s="56"/>
      <c r="AB106" s="83">
        <f>V106+X106+Z106</f>
        <v>557</v>
      </c>
      <c r="AC106" s="83">
        <f>W106+Y106+AA106</f>
        <v>80652</v>
      </c>
      <c r="AD106" s="56"/>
      <c r="AE106" s="56"/>
      <c r="AF106" s="56"/>
      <c r="AG106" s="56"/>
      <c r="AH106" s="56"/>
      <c r="AI106" s="56"/>
      <c r="AJ106" s="83">
        <f>AD106+AF106+AH106</f>
        <v>0</v>
      </c>
      <c r="AK106" s="83">
        <f>AE106+AG106+AI106</f>
        <v>0</v>
      </c>
      <c r="AL106" s="83">
        <f>L106+T106+AB106+AJ106</f>
        <v>4228.5330000000004</v>
      </c>
      <c r="AM106" s="83">
        <f>M106+U106+AC106+AK106</f>
        <v>138820</v>
      </c>
      <c r="AN106" s="136"/>
      <c r="AO106" s="139"/>
      <c r="AP106" s="142"/>
      <c r="AQ106" s="139"/>
      <c r="AV106" s="4"/>
    </row>
    <row r="107" spans="1:48" s="57" customFormat="1" ht="40.5" customHeight="1">
      <c r="A107" s="134"/>
      <c r="B107" s="158"/>
      <c r="C107" s="134"/>
      <c r="D107" s="134"/>
      <c r="E107" s="55" t="s">
        <v>36</v>
      </c>
      <c r="F107" s="56">
        <f>3734.605+952.868+158.173</f>
        <v>4845.6459999999997</v>
      </c>
      <c r="G107" s="56">
        <f>19455+25819+20514+5813+9017+313</f>
        <v>80931</v>
      </c>
      <c r="H107" s="56">
        <f>2392.452+1083.874+132.888</f>
        <v>3609.2139999999999</v>
      </c>
      <c r="I107" s="56">
        <f>56714+229</f>
        <v>56943</v>
      </c>
      <c r="J107" s="33">
        <f>3654.188+1231.04+460.704</f>
        <v>5345.9319999999998</v>
      </c>
      <c r="K107" s="33">
        <f>84435+197</f>
        <v>84632</v>
      </c>
      <c r="L107" s="83">
        <f>F107+H107+J107</f>
        <v>13800.792000000001</v>
      </c>
      <c r="M107" s="83">
        <f>G107+I107+K107</f>
        <v>222506</v>
      </c>
      <c r="N107" s="56">
        <f>3628.451+1359.393+183.147</f>
        <v>5170.991</v>
      </c>
      <c r="O107" s="56">
        <f>84201+223</f>
        <v>84424</v>
      </c>
      <c r="P107" s="56">
        <f>3597.64+1389.5+170.345</f>
        <v>5157.4849999999997</v>
      </c>
      <c r="Q107" s="56">
        <f>84848+181</f>
        <v>85029</v>
      </c>
      <c r="R107" s="56">
        <f>3557.032+1250.53+436.29</f>
        <v>5243.8519999999999</v>
      </c>
      <c r="S107" s="56">
        <f>79953+153</f>
        <v>80106</v>
      </c>
      <c r="T107" s="83">
        <f>N107+P107+R107</f>
        <v>15572.327999999998</v>
      </c>
      <c r="U107" s="56">
        <f>O107+Q107+S107</f>
        <v>249559</v>
      </c>
      <c r="V107" s="56">
        <f>4244.685+1139.993+191.256+0.135</f>
        <v>5576.0690000000004</v>
      </c>
      <c r="W107" s="56">
        <f>8259+387</f>
        <v>8646</v>
      </c>
      <c r="X107" s="56"/>
      <c r="Y107" s="56"/>
      <c r="Z107" s="56"/>
      <c r="AA107" s="56"/>
      <c r="AB107" s="83">
        <f>V107+X107+Z107</f>
        <v>5576.0690000000004</v>
      </c>
      <c r="AC107" s="83">
        <f>W107+Y107+AA107</f>
        <v>8646</v>
      </c>
      <c r="AD107" s="56"/>
      <c r="AE107" s="56"/>
      <c r="AF107" s="56"/>
      <c r="AG107" s="56"/>
      <c r="AH107" s="56"/>
      <c r="AI107" s="56"/>
      <c r="AJ107" s="83">
        <f>AD107+AF107+AH107</f>
        <v>0</v>
      </c>
      <c r="AK107" s="83">
        <f>AE107+AG107+AI107</f>
        <v>0</v>
      </c>
      <c r="AL107" s="83">
        <f>L107+T107+AB107+AJ107</f>
        <v>34949.188999999998</v>
      </c>
      <c r="AM107" s="83">
        <f>M107+U107+AC107+AK107</f>
        <v>480711</v>
      </c>
      <c r="AN107" s="138"/>
      <c r="AO107" s="141"/>
      <c r="AP107" s="144"/>
      <c r="AQ107" s="141"/>
      <c r="AV107" s="4"/>
    </row>
    <row r="108" spans="1:48" s="63" customFormat="1" ht="18" customHeight="1">
      <c r="A108" s="135"/>
      <c r="B108" s="159"/>
      <c r="C108" s="59" t="s">
        <v>37</v>
      </c>
      <c r="D108" s="59"/>
      <c r="E108" s="60"/>
      <c r="F108" s="60">
        <f t="shared" ref="F108:AM108" si="49">SUM(F106:F107)</f>
        <v>5561.0190000000002</v>
      </c>
      <c r="G108" s="60">
        <f t="shared" si="49"/>
        <v>92315</v>
      </c>
      <c r="H108" s="60">
        <f t="shared" si="49"/>
        <v>4121.1949999999997</v>
      </c>
      <c r="I108" s="60">
        <f t="shared" si="49"/>
        <v>65678</v>
      </c>
      <c r="J108" s="60">
        <f t="shared" si="49"/>
        <v>6014.0050000000001</v>
      </c>
      <c r="K108" s="60">
        <f t="shared" si="49"/>
        <v>94875</v>
      </c>
      <c r="L108" s="60">
        <f t="shared" si="49"/>
        <v>15696.219000000001</v>
      </c>
      <c r="M108" s="60">
        <f t="shared" si="49"/>
        <v>252868</v>
      </c>
      <c r="N108" s="60">
        <f t="shared" si="49"/>
        <v>5783.7640000000001</v>
      </c>
      <c r="O108" s="60">
        <f t="shared" si="49"/>
        <v>94206</v>
      </c>
      <c r="P108" s="60">
        <f t="shared" si="49"/>
        <v>5753.201</v>
      </c>
      <c r="Q108" s="60">
        <f t="shared" si="49"/>
        <v>94334</v>
      </c>
      <c r="R108" s="60">
        <f t="shared" si="49"/>
        <v>5811.4690000000001</v>
      </c>
      <c r="S108" s="60">
        <f t="shared" si="49"/>
        <v>88825</v>
      </c>
      <c r="T108" s="60">
        <f t="shared" si="49"/>
        <v>17348.433999999997</v>
      </c>
      <c r="U108" s="60">
        <f t="shared" si="49"/>
        <v>277365</v>
      </c>
      <c r="V108" s="62">
        <f t="shared" si="49"/>
        <v>6133.0690000000004</v>
      </c>
      <c r="W108" s="62">
        <f t="shared" si="49"/>
        <v>89298</v>
      </c>
      <c r="X108" s="60">
        <f t="shared" si="49"/>
        <v>0</v>
      </c>
      <c r="Y108" s="60">
        <f t="shared" si="49"/>
        <v>0</v>
      </c>
      <c r="Z108" s="60">
        <f t="shared" si="49"/>
        <v>0</v>
      </c>
      <c r="AA108" s="60">
        <f t="shared" si="49"/>
        <v>0</v>
      </c>
      <c r="AB108" s="60">
        <f t="shared" si="49"/>
        <v>6133.0690000000004</v>
      </c>
      <c r="AC108" s="60">
        <f t="shared" si="49"/>
        <v>89298</v>
      </c>
      <c r="AD108" s="60">
        <f t="shared" si="49"/>
        <v>0</v>
      </c>
      <c r="AE108" s="60">
        <f t="shared" si="49"/>
        <v>0</v>
      </c>
      <c r="AF108" s="60">
        <f t="shared" si="49"/>
        <v>0</v>
      </c>
      <c r="AG108" s="60">
        <f t="shared" si="49"/>
        <v>0</v>
      </c>
      <c r="AH108" s="60">
        <f t="shared" si="49"/>
        <v>0</v>
      </c>
      <c r="AI108" s="60">
        <f t="shared" si="49"/>
        <v>0</v>
      </c>
      <c r="AJ108" s="60">
        <f t="shared" si="49"/>
        <v>0</v>
      </c>
      <c r="AK108" s="60">
        <f t="shared" si="49"/>
        <v>0</v>
      </c>
      <c r="AL108" s="60">
        <f t="shared" si="49"/>
        <v>39177.722000000002</v>
      </c>
      <c r="AM108" s="60">
        <f t="shared" si="49"/>
        <v>619531</v>
      </c>
      <c r="AN108" s="27">
        <v>278020</v>
      </c>
      <c r="AO108" s="27">
        <f>AN108/12*$AO$8</f>
        <v>92673.333333333328</v>
      </c>
      <c r="AP108" s="28">
        <f>AL108/AO108</f>
        <v>0.42275075893820591</v>
      </c>
      <c r="AQ108" s="62"/>
      <c r="AV108" s="30"/>
    </row>
    <row r="109" spans="1:48" s="57" customFormat="1" ht="37.5" customHeight="1">
      <c r="A109" s="145">
        <f>A106+1</f>
        <v>30</v>
      </c>
      <c r="B109" s="145">
        <v>31</v>
      </c>
      <c r="C109" s="185" t="s">
        <v>102</v>
      </c>
      <c r="D109" s="185" t="s">
        <v>103</v>
      </c>
      <c r="E109" s="39" t="s">
        <v>35</v>
      </c>
      <c r="F109" s="22">
        <v>471.27100000000002</v>
      </c>
      <c r="G109" s="22">
        <v>9810</v>
      </c>
      <c r="H109" s="22">
        <v>411.12599999999998</v>
      </c>
      <c r="I109" s="22">
        <v>9706</v>
      </c>
      <c r="J109" s="22">
        <v>434.37299999999999</v>
      </c>
      <c r="K109" s="22">
        <v>8993</v>
      </c>
      <c r="L109" s="21">
        <f>F109+H109+J109</f>
        <v>1316.77</v>
      </c>
      <c r="M109" s="21">
        <f>G109+I109+K109</f>
        <v>28509</v>
      </c>
      <c r="N109" s="22">
        <v>474.16800000000001</v>
      </c>
      <c r="O109" s="22">
        <v>10252</v>
      </c>
      <c r="P109" s="22">
        <v>397.42</v>
      </c>
      <c r="Q109" s="22">
        <v>8512</v>
      </c>
      <c r="R109" s="22">
        <v>393.923</v>
      </c>
      <c r="S109" s="22">
        <v>8672</v>
      </c>
      <c r="T109" s="21">
        <f>N109+P109+R109</f>
        <v>1265.511</v>
      </c>
      <c r="U109" s="22">
        <f>O109+Q109+S109</f>
        <v>27436</v>
      </c>
      <c r="V109" s="22">
        <v>401.26400000000001</v>
      </c>
      <c r="W109" s="22">
        <v>8716</v>
      </c>
      <c r="X109" s="22"/>
      <c r="Y109" s="22"/>
      <c r="Z109" s="22"/>
      <c r="AA109" s="22"/>
      <c r="AB109" s="21">
        <f>V109+X109+Z109</f>
        <v>401.26400000000001</v>
      </c>
      <c r="AC109" s="21">
        <f>W109+Y109+AA109</f>
        <v>8716</v>
      </c>
      <c r="AD109" s="22"/>
      <c r="AE109" s="22"/>
      <c r="AF109" s="22"/>
      <c r="AG109" s="22"/>
      <c r="AH109" s="22"/>
      <c r="AI109" s="22"/>
      <c r="AJ109" s="21">
        <f>AD109+AF109+AH109</f>
        <v>0</v>
      </c>
      <c r="AK109" s="21">
        <f>AE109+AG109+AI109</f>
        <v>0</v>
      </c>
      <c r="AL109" s="21">
        <f>L109+T109+AB109+AJ109</f>
        <v>2983.5450000000001</v>
      </c>
      <c r="AM109" s="21">
        <f>M109+U109+AC109+AK109</f>
        <v>64661</v>
      </c>
      <c r="AN109" s="149"/>
      <c r="AO109" s="132"/>
      <c r="AP109" s="130"/>
      <c r="AQ109" s="132"/>
      <c r="AV109" s="4"/>
    </row>
    <row r="110" spans="1:48" s="57" customFormat="1" ht="23.25" customHeight="1">
      <c r="A110" s="145"/>
      <c r="B110" s="145"/>
      <c r="C110" s="185"/>
      <c r="D110" s="185"/>
      <c r="E110" s="39" t="s">
        <v>36</v>
      </c>
      <c r="F110" s="22">
        <v>3359.6060000000002</v>
      </c>
      <c r="G110" s="22">
        <v>72607</v>
      </c>
      <c r="H110" s="22">
        <v>3194.9389999999999</v>
      </c>
      <c r="I110" s="22">
        <v>74278</v>
      </c>
      <c r="J110" s="22">
        <v>3244.7719999999999</v>
      </c>
      <c r="K110" s="22">
        <v>70608</v>
      </c>
      <c r="L110" s="21">
        <f>F110+H110+J110</f>
        <v>9799.3169999999991</v>
      </c>
      <c r="M110" s="21">
        <f>G110+I110+K110</f>
        <v>217493</v>
      </c>
      <c r="N110" s="22">
        <v>3544.7890000000002</v>
      </c>
      <c r="O110" s="22">
        <v>77917</v>
      </c>
      <c r="P110" s="22">
        <v>3289.018</v>
      </c>
      <c r="Q110" s="22">
        <v>69213</v>
      </c>
      <c r="R110" s="22">
        <v>3101.7979999999998</v>
      </c>
      <c r="S110" s="22">
        <v>68815</v>
      </c>
      <c r="T110" s="21">
        <f>N110+P110+R110</f>
        <v>9935.6049999999996</v>
      </c>
      <c r="U110" s="22">
        <f>O110+Q110+S110</f>
        <v>215945</v>
      </c>
      <c r="V110" s="22">
        <v>3284.8890000000001</v>
      </c>
      <c r="W110" s="22">
        <v>71352</v>
      </c>
      <c r="X110" s="22"/>
      <c r="Y110" s="22"/>
      <c r="Z110" s="22"/>
      <c r="AA110" s="22"/>
      <c r="AB110" s="21">
        <f>V110+X110+Z110</f>
        <v>3284.8890000000001</v>
      </c>
      <c r="AC110" s="21">
        <f>W110+Y110+AA110</f>
        <v>71352</v>
      </c>
      <c r="AD110" s="22"/>
      <c r="AE110" s="22"/>
      <c r="AF110" s="22"/>
      <c r="AG110" s="22"/>
      <c r="AH110" s="22"/>
      <c r="AI110" s="22"/>
      <c r="AJ110" s="21">
        <f>AD110+AF110+AH110</f>
        <v>0</v>
      </c>
      <c r="AK110" s="21">
        <f>AE110+AG110+AI110</f>
        <v>0</v>
      </c>
      <c r="AL110" s="21">
        <f>L110+T110+AB110+AJ110</f>
        <v>23019.810999999998</v>
      </c>
      <c r="AM110" s="21">
        <f>M110+U110+AC110+AK110</f>
        <v>504790</v>
      </c>
      <c r="AN110" s="150"/>
      <c r="AO110" s="133"/>
      <c r="AP110" s="131"/>
      <c r="AQ110" s="133"/>
      <c r="AV110" s="4"/>
    </row>
    <row r="111" spans="1:48" s="100" customFormat="1" ht="12" customHeight="1">
      <c r="A111" s="146"/>
      <c r="B111" s="146"/>
      <c r="C111" s="25" t="s">
        <v>37</v>
      </c>
      <c r="D111" s="98"/>
      <c r="E111" s="52"/>
      <c r="F111" s="71">
        <f t="shared" ref="F111:AM111" si="50">SUM(F109:F110)</f>
        <v>3830.8770000000004</v>
      </c>
      <c r="G111" s="71">
        <f t="shared" si="50"/>
        <v>82417</v>
      </c>
      <c r="H111" s="71">
        <f t="shared" si="50"/>
        <v>3606.0649999999996</v>
      </c>
      <c r="I111" s="71">
        <f t="shared" si="50"/>
        <v>83984</v>
      </c>
      <c r="J111" s="71">
        <f t="shared" si="50"/>
        <v>3679.145</v>
      </c>
      <c r="K111" s="71">
        <f t="shared" si="50"/>
        <v>79601</v>
      </c>
      <c r="L111" s="71">
        <f t="shared" si="50"/>
        <v>11116.087</v>
      </c>
      <c r="M111" s="71">
        <f t="shared" si="50"/>
        <v>246002</v>
      </c>
      <c r="N111" s="71">
        <f t="shared" si="50"/>
        <v>4018.9570000000003</v>
      </c>
      <c r="O111" s="71">
        <f t="shared" si="50"/>
        <v>88169</v>
      </c>
      <c r="P111" s="71">
        <f t="shared" si="50"/>
        <v>3686.4380000000001</v>
      </c>
      <c r="Q111" s="71">
        <f t="shared" si="50"/>
        <v>77725</v>
      </c>
      <c r="R111" s="71">
        <f t="shared" si="50"/>
        <v>3495.7209999999995</v>
      </c>
      <c r="S111" s="71">
        <f t="shared" si="50"/>
        <v>77487</v>
      </c>
      <c r="T111" s="71">
        <f t="shared" si="50"/>
        <v>11201.116</v>
      </c>
      <c r="U111" s="71">
        <f t="shared" si="50"/>
        <v>243381</v>
      </c>
      <c r="V111" s="71">
        <f t="shared" si="50"/>
        <v>3686.1530000000002</v>
      </c>
      <c r="W111" s="71">
        <f t="shared" si="50"/>
        <v>80068</v>
      </c>
      <c r="X111" s="71">
        <f t="shared" si="50"/>
        <v>0</v>
      </c>
      <c r="Y111" s="71">
        <f t="shared" si="50"/>
        <v>0</v>
      </c>
      <c r="Z111" s="71">
        <f t="shared" si="50"/>
        <v>0</v>
      </c>
      <c r="AA111" s="71">
        <f t="shared" si="50"/>
        <v>0</v>
      </c>
      <c r="AB111" s="71">
        <f t="shared" si="50"/>
        <v>3686.1530000000002</v>
      </c>
      <c r="AC111" s="71">
        <f t="shared" si="50"/>
        <v>80068</v>
      </c>
      <c r="AD111" s="71">
        <f t="shared" si="50"/>
        <v>0</v>
      </c>
      <c r="AE111" s="71">
        <f t="shared" si="50"/>
        <v>0</v>
      </c>
      <c r="AF111" s="71">
        <f t="shared" si="50"/>
        <v>0</v>
      </c>
      <c r="AG111" s="71">
        <f t="shared" si="50"/>
        <v>0</v>
      </c>
      <c r="AH111" s="71">
        <f t="shared" si="50"/>
        <v>0</v>
      </c>
      <c r="AI111" s="71">
        <f t="shared" si="50"/>
        <v>0</v>
      </c>
      <c r="AJ111" s="71">
        <f t="shared" si="50"/>
        <v>0</v>
      </c>
      <c r="AK111" s="71">
        <f t="shared" si="50"/>
        <v>0</v>
      </c>
      <c r="AL111" s="71">
        <f t="shared" si="50"/>
        <v>26003.356</v>
      </c>
      <c r="AM111" s="71">
        <f t="shared" si="50"/>
        <v>569451</v>
      </c>
      <c r="AN111" s="27">
        <v>152388.389688</v>
      </c>
      <c r="AO111" s="27">
        <f>AN111/12*$AO$8</f>
        <v>50796.129895999999</v>
      </c>
      <c r="AP111" s="28">
        <f>AL111/AO111</f>
        <v>0.51191608599393834</v>
      </c>
      <c r="AQ111" s="99"/>
      <c r="AV111" s="66"/>
    </row>
    <row r="112" spans="1:48" s="57" customFormat="1">
      <c r="A112" s="54"/>
      <c r="B112" s="54"/>
      <c r="C112" s="101" t="s">
        <v>104</v>
      </c>
      <c r="D112" s="54"/>
      <c r="E112" s="56"/>
      <c r="F112" s="56"/>
      <c r="G112" s="56"/>
      <c r="H112" s="56"/>
      <c r="I112" s="56"/>
      <c r="J112" s="56"/>
      <c r="K112" s="56"/>
      <c r="L112" s="83"/>
      <c r="M112" s="83"/>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83"/>
      <c r="AM112" s="83"/>
      <c r="AN112" s="83"/>
      <c r="AO112" s="83"/>
      <c r="AP112" s="92"/>
      <c r="AQ112" s="56"/>
      <c r="AV112" s="4"/>
    </row>
    <row r="113" spans="1:48" s="57" customFormat="1" ht="49.5" customHeight="1">
      <c r="A113" s="134">
        <f>A109+1</f>
        <v>31</v>
      </c>
      <c r="B113" s="134">
        <v>32</v>
      </c>
      <c r="C113" s="134" t="s">
        <v>105</v>
      </c>
      <c r="D113" s="134" t="s">
        <v>106</v>
      </c>
      <c r="E113" s="55" t="s">
        <v>35</v>
      </c>
      <c r="F113" s="56">
        <v>505.154</v>
      </c>
      <c r="G113" s="56">
        <v>10497</v>
      </c>
      <c r="H113" s="56">
        <v>533.58900000000006</v>
      </c>
      <c r="I113" s="56">
        <v>12146</v>
      </c>
      <c r="J113" s="56">
        <v>475.30799999999999</v>
      </c>
      <c r="K113" s="56">
        <v>9674</v>
      </c>
      <c r="L113" s="83">
        <f>F113+H113+J113</f>
        <v>1514.0509999999999</v>
      </c>
      <c r="M113" s="83">
        <f>G113+I113+K113</f>
        <v>32317</v>
      </c>
      <c r="N113" s="56">
        <v>483.31</v>
      </c>
      <c r="O113" s="56">
        <v>9904</v>
      </c>
      <c r="P113" s="56">
        <v>452.16399999999999</v>
      </c>
      <c r="Q113" s="56">
        <v>9390</v>
      </c>
      <c r="R113" s="56">
        <v>453.55200000000002</v>
      </c>
      <c r="S113" s="56">
        <v>9673</v>
      </c>
      <c r="T113" s="83">
        <f>N113+P113+R113</f>
        <v>1389.0259999999998</v>
      </c>
      <c r="U113" s="56">
        <f>O113+Q113+S113</f>
        <v>28967</v>
      </c>
      <c r="V113" s="56">
        <v>440.88099999999997</v>
      </c>
      <c r="W113" s="56">
        <v>9430</v>
      </c>
      <c r="X113" s="56"/>
      <c r="Y113" s="56"/>
      <c r="Z113" s="56"/>
      <c r="AA113" s="56"/>
      <c r="AB113" s="83">
        <f>V113+X113+Z113</f>
        <v>440.88099999999997</v>
      </c>
      <c r="AC113" s="83">
        <f>W113+Y113+AA113</f>
        <v>9430</v>
      </c>
      <c r="AD113" s="56"/>
      <c r="AE113" s="56"/>
      <c r="AF113" s="56"/>
      <c r="AG113" s="56"/>
      <c r="AH113" s="56"/>
      <c r="AI113" s="56"/>
      <c r="AJ113" s="83">
        <f>AD113+AF113+AH113</f>
        <v>0</v>
      </c>
      <c r="AK113" s="83">
        <f>AE113+AG113+AI113</f>
        <v>0</v>
      </c>
      <c r="AL113" s="83">
        <f>L113+T113+AB113+AJ113</f>
        <v>3343.9579999999996</v>
      </c>
      <c r="AM113" s="83">
        <f>M113+U113+AC113+AK113</f>
        <v>70714</v>
      </c>
      <c r="AN113" s="136"/>
      <c r="AO113" s="136"/>
      <c r="AP113" s="92"/>
      <c r="AQ113" s="83"/>
      <c r="AV113" s="4"/>
    </row>
    <row r="114" spans="1:48" s="57" customFormat="1" ht="49.5" customHeight="1">
      <c r="A114" s="134"/>
      <c r="B114" s="134"/>
      <c r="C114" s="134"/>
      <c r="D114" s="134"/>
      <c r="E114" s="55" t="s">
        <v>36</v>
      </c>
      <c r="F114" s="56">
        <v>2984.4760000000001</v>
      </c>
      <c r="G114" s="56">
        <v>67787</v>
      </c>
      <c r="H114" s="56">
        <v>3242.3229999999999</v>
      </c>
      <c r="I114" s="56">
        <v>75798</v>
      </c>
      <c r="J114" s="56">
        <v>2970.84</v>
      </c>
      <c r="K114" s="56">
        <v>66439</v>
      </c>
      <c r="L114" s="83">
        <f>F114+H114+J114</f>
        <v>9197.6389999999992</v>
      </c>
      <c r="M114" s="83">
        <f>G114+I114+K114</f>
        <v>210024</v>
      </c>
      <c r="N114" s="56">
        <v>3252.0259999999998</v>
      </c>
      <c r="O114" s="56">
        <v>73258</v>
      </c>
      <c r="P114" s="56">
        <v>3057.98</v>
      </c>
      <c r="Q114" s="56">
        <v>65015</v>
      </c>
      <c r="R114" s="56">
        <v>2818.1950000000002</v>
      </c>
      <c r="S114" s="56">
        <v>63694</v>
      </c>
      <c r="T114" s="83">
        <f>N114+P114+R114</f>
        <v>9128.2009999999991</v>
      </c>
      <c r="U114" s="56">
        <f>O114+Q114+S114</f>
        <v>201967</v>
      </c>
      <c r="V114" s="56">
        <v>2822.5819999999999</v>
      </c>
      <c r="W114" s="56">
        <v>64271</v>
      </c>
      <c r="X114" s="56"/>
      <c r="Y114" s="56"/>
      <c r="Z114" s="56"/>
      <c r="AA114" s="56"/>
      <c r="AB114" s="83">
        <f>V114+X114+Z114</f>
        <v>2822.5819999999999</v>
      </c>
      <c r="AC114" s="83">
        <f>W114+Y114+AA114</f>
        <v>64271</v>
      </c>
      <c r="AD114" s="56"/>
      <c r="AE114" s="56"/>
      <c r="AF114" s="56"/>
      <c r="AG114" s="56"/>
      <c r="AH114" s="56"/>
      <c r="AI114" s="56"/>
      <c r="AJ114" s="83">
        <f>AD114+AF114+AH114</f>
        <v>0</v>
      </c>
      <c r="AK114" s="83">
        <f>AE114+AG114+AI114</f>
        <v>0</v>
      </c>
      <c r="AL114" s="83">
        <f>L114+T114+AB114+AJ114</f>
        <v>21148.421999999995</v>
      </c>
      <c r="AM114" s="83">
        <f>M114+U114+AC114+AK114</f>
        <v>476262</v>
      </c>
      <c r="AN114" s="138"/>
      <c r="AO114" s="138"/>
      <c r="AP114" s="92"/>
      <c r="AQ114" s="83"/>
      <c r="AV114" s="4"/>
    </row>
    <row r="115" spans="1:48" s="63" customFormat="1" ht="14.25" customHeight="1">
      <c r="A115" s="135"/>
      <c r="B115" s="135"/>
      <c r="C115" s="59" t="s">
        <v>37</v>
      </c>
      <c r="D115" s="59"/>
      <c r="E115" s="60"/>
      <c r="F115" s="60">
        <f t="shared" ref="F115:AM115" si="51">SUM(F113:F114)</f>
        <v>3489.63</v>
      </c>
      <c r="G115" s="60">
        <f t="shared" si="51"/>
        <v>78284</v>
      </c>
      <c r="H115" s="60">
        <f t="shared" si="51"/>
        <v>3775.9119999999998</v>
      </c>
      <c r="I115" s="60">
        <f t="shared" si="51"/>
        <v>87944</v>
      </c>
      <c r="J115" s="60">
        <f t="shared" si="51"/>
        <v>3446.1480000000001</v>
      </c>
      <c r="K115" s="60">
        <f t="shared" si="51"/>
        <v>76113</v>
      </c>
      <c r="L115" s="60">
        <f t="shared" si="51"/>
        <v>10711.689999999999</v>
      </c>
      <c r="M115" s="60">
        <f t="shared" si="51"/>
        <v>242341</v>
      </c>
      <c r="N115" s="60">
        <f t="shared" si="51"/>
        <v>3735.3359999999998</v>
      </c>
      <c r="O115" s="60">
        <f t="shared" si="51"/>
        <v>83162</v>
      </c>
      <c r="P115" s="60">
        <f t="shared" si="51"/>
        <v>3510.1440000000002</v>
      </c>
      <c r="Q115" s="60">
        <f t="shared" si="51"/>
        <v>74405</v>
      </c>
      <c r="R115" s="60">
        <f t="shared" si="51"/>
        <v>3271.7470000000003</v>
      </c>
      <c r="S115" s="60">
        <f t="shared" si="51"/>
        <v>73367</v>
      </c>
      <c r="T115" s="60">
        <f t="shared" si="51"/>
        <v>10517.226999999999</v>
      </c>
      <c r="U115" s="60">
        <f t="shared" si="51"/>
        <v>230934</v>
      </c>
      <c r="V115" s="62">
        <f t="shared" si="51"/>
        <v>3263.4629999999997</v>
      </c>
      <c r="W115" s="62">
        <f t="shared" si="51"/>
        <v>73701</v>
      </c>
      <c r="X115" s="60">
        <f t="shared" si="51"/>
        <v>0</v>
      </c>
      <c r="Y115" s="60">
        <f t="shared" si="51"/>
        <v>0</v>
      </c>
      <c r="Z115" s="60">
        <f t="shared" si="51"/>
        <v>0</v>
      </c>
      <c r="AA115" s="60">
        <f t="shared" si="51"/>
        <v>0</v>
      </c>
      <c r="AB115" s="60">
        <f t="shared" si="51"/>
        <v>3263.4629999999997</v>
      </c>
      <c r="AC115" s="60">
        <f t="shared" si="51"/>
        <v>73701</v>
      </c>
      <c r="AD115" s="60">
        <f t="shared" si="51"/>
        <v>0</v>
      </c>
      <c r="AE115" s="60">
        <f t="shared" si="51"/>
        <v>0</v>
      </c>
      <c r="AF115" s="60">
        <f t="shared" si="51"/>
        <v>0</v>
      </c>
      <c r="AG115" s="60">
        <f t="shared" si="51"/>
        <v>0</v>
      </c>
      <c r="AH115" s="60">
        <f t="shared" si="51"/>
        <v>0</v>
      </c>
      <c r="AI115" s="60">
        <f t="shared" si="51"/>
        <v>0</v>
      </c>
      <c r="AJ115" s="60">
        <f t="shared" si="51"/>
        <v>0</v>
      </c>
      <c r="AK115" s="60">
        <f t="shared" si="51"/>
        <v>0</v>
      </c>
      <c r="AL115" s="60">
        <f t="shared" si="51"/>
        <v>24492.379999999994</v>
      </c>
      <c r="AM115" s="60">
        <f t="shared" si="51"/>
        <v>546976</v>
      </c>
      <c r="AN115" s="27">
        <f>48559+330876</f>
        <v>379435</v>
      </c>
      <c r="AO115" s="27">
        <f>AN115/12*$AO$8</f>
        <v>126478.33333333333</v>
      </c>
      <c r="AP115" s="28">
        <f>AL115/AO115</f>
        <v>0.19364881995598715</v>
      </c>
      <c r="AQ115" s="62"/>
      <c r="AV115" s="30"/>
    </row>
    <row r="116" spans="1:48" s="57" customFormat="1">
      <c r="A116" s="102"/>
      <c r="B116" s="102"/>
      <c r="C116" s="101" t="s">
        <v>107</v>
      </c>
      <c r="D116" s="102"/>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6"/>
      <c r="AQ116" s="95"/>
      <c r="AV116" s="4"/>
    </row>
    <row r="117" spans="1:48" s="57" customFormat="1">
      <c r="A117" s="145">
        <f>A113+1</f>
        <v>32</v>
      </c>
      <c r="B117" s="145">
        <v>33</v>
      </c>
      <c r="C117" s="175" t="s">
        <v>108</v>
      </c>
      <c r="D117" s="145" t="s">
        <v>109</v>
      </c>
      <c r="E117" s="39" t="s">
        <v>35</v>
      </c>
      <c r="F117" s="21">
        <v>2487.3510000000001</v>
      </c>
      <c r="G117" s="21">
        <v>49925</v>
      </c>
      <c r="H117" s="21">
        <v>1939.2619999999999</v>
      </c>
      <c r="I117" s="21">
        <v>42226</v>
      </c>
      <c r="J117" s="21">
        <v>2160.6750000000002</v>
      </c>
      <c r="K117" s="41">
        <v>44573</v>
      </c>
      <c r="L117" s="21">
        <f t="shared" ref="L117:M119" si="52">F117+H117+J117</f>
        <v>6587.2880000000005</v>
      </c>
      <c r="M117" s="21">
        <f t="shared" si="52"/>
        <v>136724</v>
      </c>
      <c r="N117" s="21">
        <v>2226.2759999999998</v>
      </c>
      <c r="O117" s="41">
        <v>44423</v>
      </c>
      <c r="P117" s="21">
        <v>2117.7570000000001</v>
      </c>
      <c r="Q117" s="41">
        <v>42802</v>
      </c>
      <c r="R117" s="21">
        <v>1896.9269999999999</v>
      </c>
      <c r="S117" s="41">
        <v>35903</v>
      </c>
      <c r="T117" s="21">
        <f t="shared" ref="T117:U122" si="53">N117+P117+R117</f>
        <v>6240.9599999999991</v>
      </c>
      <c r="U117" s="21">
        <f>O117+Q117+S117</f>
        <v>123128</v>
      </c>
      <c r="V117" s="21">
        <v>1916.3789999999999</v>
      </c>
      <c r="W117" s="21">
        <v>33245</v>
      </c>
      <c r="X117" s="21"/>
      <c r="Y117" s="149"/>
      <c r="Z117" s="21"/>
      <c r="AA117" s="149"/>
      <c r="AB117" s="21">
        <f t="shared" ref="AB117:AB122" si="54">V117+X117+Z117</f>
        <v>1916.3789999999999</v>
      </c>
      <c r="AC117" s="21">
        <f t="shared" ref="AC117:AC120" si="55">W117+Y117+AA117</f>
        <v>33245</v>
      </c>
      <c r="AD117" s="21"/>
      <c r="AE117" s="149"/>
      <c r="AF117" s="21"/>
      <c r="AG117" s="149"/>
      <c r="AH117" s="21"/>
      <c r="AI117" s="149"/>
      <c r="AJ117" s="21">
        <f>AD117+AF117+AH117</f>
        <v>0</v>
      </c>
      <c r="AK117" s="149">
        <f>AE117+AG117+AI117</f>
        <v>0</v>
      </c>
      <c r="AL117" s="21">
        <f t="shared" ref="AL117:AM122" si="56">L117+T117+AB117+AJ117</f>
        <v>14744.627</v>
      </c>
      <c r="AM117" s="21">
        <f>M117+U117+AC117+AK117</f>
        <v>293097</v>
      </c>
      <c r="AN117" s="132"/>
      <c r="AO117" s="132"/>
      <c r="AP117" s="130"/>
      <c r="AQ117" s="132"/>
      <c r="AV117" s="4"/>
    </row>
    <row r="118" spans="1:48" s="57" customFormat="1">
      <c r="A118" s="145"/>
      <c r="B118" s="145"/>
      <c r="C118" s="176"/>
      <c r="D118" s="145"/>
      <c r="E118" s="39" t="s">
        <v>36</v>
      </c>
      <c r="F118" s="21">
        <v>32230.802</v>
      </c>
      <c r="G118" s="21">
        <v>664497</v>
      </c>
      <c r="H118" s="21">
        <v>25481.794000000002</v>
      </c>
      <c r="I118" s="21">
        <v>524445</v>
      </c>
      <c r="J118" s="21">
        <v>32539.147000000001</v>
      </c>
      <c r="K118" s="41">
        <v>635882</v>
      </c>
      <c r="L118" s="21">
        <f t="shared" si="52"/>
        <v>90251.743000000002</v>
      </c>
      <c r="M118" s="21">
        <f t="shared" si="52"/>
        <v>1824824</v>
      </c>
      <c r="N118" s="21">
        <v>30635.373</v>
      </c>
      <c r="O118" s="41">
        <v>623471</v>
      </c>
      <c r="P118" s="21">
        <v>31709.331999999999</v>
      </c>
      <c r="Q118" s="41">
        <v>635691</v>
      </c>
      <c r="R118" s="21">
        <v>30617.01</v>
      </c>
      <c r="S118" s="41">
        <v>611428</v>
      </c>
      <c r="T118" s="21">
        <f t="shared" si="53"/>
        <v>92961.714999999997</v>
      </c>
      <c r="U118" s="21">
        <f>O118+Q118+S118</f>
        <v>1870590</v>
      </c>
      <c r="V118" s="21">
        <v>30956.288</v>
      </c>
      <c r="W118" s="21">
        <v>632370</v>
      </c>
      <c r="X118" s="21"/>
      <c r="Y118" s="150"/>
      <c r="Z118" s="21"/>
      <c r="AA118" s="150"/>
      <c r="AB118" s="21">
        <f t="shared" si="54"/>
        <v>30956.288</v>
      </c>
      <c r="AC118" s="21">
        <f t="shared" si="55"/>
        <v>632370</v>
      </c>
      <c r="AD118" s="21"/>
      <c r="AE118" s="150"/>
      <c r="AF118" s="21"/>
      <c r="AG118" s="150"/>
      <c r="AH118" s="21"/>
      <c r="AI118" s="150"/>
      <c r="AJ118" s="21">
        <f>AD118+AF118+AH118</f>
        <v>0</v>
      </c>
      <c r="AK118" s="150"/>
      <c r="AL118" s="21">
        <f t="shared" si="56"/>
        <v>214169.74599999998</v>
      </c>
      <c r="AM118" s="21">
        <f>M118+U118+AC118+AK118</f>
        <v>4327784</v>
      </c>
      <c r="AN118" s="171"/>
      <c r="AO118" s="171"/>
      <c r="AP118" s="172"/>
      <c r="AQ118" s="171"/>
      <c r="AV118" s="4"/>
    </row>
    <row r="119" spans="1:48" s="57" customFormat="1">
      <c r="A119" s="145"/>
      <c r="B119" s="145">
        <v>34</v>
      </c>
      <c r="C119" s="176"/>
      <c r="D119" s="145" t="s">
        <v>110</v>
      </c>
      <c r="E119" s="39" t="s">
        <v>35</v>
      </c>
      <c r="F119" s="21">
        <v>3116.502</v>
      </c>
      <c r="G119" s="41">
        <v>34184</v>
      </c>
      <c r="H119" s="21">
        <v>2699.451</v>
      </c>
      <c r="I119" s="41">
        <v>31934</v>
      </c>
      <c r="J119" s="21">
        <v>2667.2280000000001</v>
      </c>
      <c r="K119" s="41">
        <v>30583</v>
      </c>
      <c r="L119" s="21">
        <f t="shared" si="52"/>
        <v>8483.1810000000005</v>
      </c>
      <c r="M119" s="97">
        <f>G119+I119+K119</f>
        <v>96701</v>
      </c>
      <c r="N119" s="21">
        <v>2620.6370000000002</v>
      </c>
      <c r="O119" s="41">
        <v>30420</v>
      </c>
      <c r="P119" s="21">
        <v>2649.3290000000002</v>
      </c>
      <c r="Q119" s="41">
        <v>31096</v>
      </c>
      <c r="R119" s="21">
        <v>2196.3890000000001</v>
      </c>
      <c r="S119" s="41">
        <v>24950</v>
      </c>
      <c r="T119" s="21">
        <f t="shared" si="53"/>
        <v>7466.3550000000005</v>
      </c>
      <c r="U119" s="21">
        <f>O119+Q119+S119</f>
        <v>86466</v>
      </c>
      <c r="V119" s="21">
        <v>2363.4589999999998</v>
      </c>
      <c r="W119" s="21">
        <v>24339</v>
      </c>
      <c r="X119" s="21"/>
      <c r="Y119" s="149"/>
      <c r="Z119" s="21"/>
      <c r="AA119" s="149"/>
      <c r="AB119" s="21">
        <f t="shared" si="54"/>
        <v>2363.4589999999998</v>
      </c>
      <c r="AC119" s="21">
        <f t="shared" si="55"/>
        <v>24339</v>
      </c>
      <c r="AD119" s="21"/>
      <c r="AE119" s="149"/>
      <c r="AF119" s="21"/>
      <c r="AG119" s="149"/>
      <c r="AH119" s="21"/>
      <c r="AI119" s="149"/>
      <c r="AJ119" s="21">
        <f>AD119+AF119+AH119</f>
        <v>0</v>
      </c>
      <c r="AK119" s="149">
        <f>AE119+AG119+AI119</f>
        <v>0</v>
      </c>
      <c r="AL119" s="21">
        <f t="shared" si="56"/>
        <v>18312.994999999999</v>
      </c>
      <c r="AM119" s="21">
        <f t="shared" si="56"/>
        <v>207506</v>
      </c>
      <c r="AN119" s="171"/>
      <c r="AO119" s="171"/>
      <c r="AP119" s="172"/>
      <c r="AQ119" s="171"/>
      <c r="AV119" s="4"/>
    </row>
    <row r="120" spans="1:48" s="57" customFormat="1">
      <c r="A120" s="145"/>
      <c r="B120" s="145"/>
      <c r="C120" s="176"/>
      <c r="D120" s="145"/>
      <c r="E120" s="39" t="s">
        <v>36</v>
      </c>
      <c r="F120" s="21">
        <v>43881.97</v>
      </c>
      <c r="G120" s="41">
        <v>499094</v>
      </c>
      <c r="H120" s="21">
        <v>40787.357000000004</v>
      </c>
      <c r="I120" s="41">
        <v>386672</v>
      </c>
      <c r="J120" s="21">
        <v>48042.063999999998</v>
      </c>
      <c r="K120" s="41">
        <v>479766</v>
      </c>
      <c r="L120" s="21">
        <f>F120+H120+J120</f>
        <v>132711.391</v>
      </c>
      <c r="M120" s="97">
        <f>G120+I120+K120</f>
        <v>1365532</v>
      </c>
      <c r="N120" s="21">
        <v>42260.641000000003</v>
      </c>
      <c r="O120" s="41">
        <v>463146</v>
      </c>
      <c r="P120" s="21">
        <v>49299.578999999998</v>
      </c>
      <c r="Q120" s="41">
        <v>501305</v>
      </c>
      <c r="R120" s="21">
        <v>46647.911</v>
      </c>
      <c r="S120" s="41">
        <v>464623</v>
      </c>
      <c r="T120" s="21">
        <f t="shared" si="53"/>
        <v>138208.13099999999</v>
      </c>
      <c r="U120" s="21">
        <f>O120+Q120+S120</f>
        <v>1429074</v>
      </c>
      <c r="V120" s="21">
        <v>48522.881999999998</v>
      </c>
      <c r="W120" s="21">
        <v>497721</v>
      </c>
      <c r="X120" s="21"/>
      <c r="Y120" s="150"/>
      <c r="Z120" s="21"/>
      <c r="AA120" s="150"/>
      <c r="AB120" s="21">
        <f t="shared" si="54"/>
        <v>48522.881999999998</v>
      </c>
      <c r="AC120" s="21">
        <f t="shared" si="55"/>
        <v>497721</v>
      </c>
      <c r="AD120" s="21"/>
      <c r="AE120" s="150"/>
      <c r="AF120" s="21"/>
      <c r="AG120" s="150"/>
      <c r="AH120" s="21"/>
      <c r="AI120" s="150"/>
      <c r="AJ120" s="21">
        <f>AD120+AF120+AH120</f>
        <v>0</v>
      </c>
      <c r="AK120" s="150"/>
      <c r="AL120" s="21">
        <f t="shared" si="56"/>
        <v>319442.40399999998</v>
      </c>
      <c r="AM120" s="21">
        <f t="shared" si="56"/>
        <v>3292327</v>
      </c>
      <c r="AN120" s="171"/>
      <c r="AO120" s="171"/>
      <c r="AP120" s="172"/>
      <c r="AQ120" s="171"/>
      <c r="AV120" s="4"/>
    </row>
    <row r="121" spans="1:48" s="57" customFormat="1" ht="15" customHeight="1">
      <c r="A121" s="145"/>
      <c r="B121" s="145">
        <f>B119+1</f>
        <v>35</v>
      </c>
      <c r="C121" s="176"/>
      <c r="D121" s="145" t="s">
        <v>111</v>
      </c>
      <c r="E121" s="39" t="s">
        <v>35</v>
      </c>
      <c r="F121" s="21">
        <v>20.902999999999999</v>
      </c>
      <c r="G121" s="21">
        <v>8298</v>
      </c>
      <c r="H121" s="21">
        <v>11.312830999999999</v>
      </c>
      <c r="I121" s="21">
        <v>7559</v>
      </c>
      <c r="J121" s="21">
        <v>21.801532999999999</v>
      </c>
      <c r="K121" s="21">
        <v>7362</v>
      </c>
      <c r="L121" s="21">
        <f>F121+H121+J121</f>
        <v>54.017363999999993</v>
      </c>
      <c r="M121" s="21">
        <f>G121+I121+K121</f>
        <v>23219</v>
      </c>
      <c r="N121" s="21">
        <v>11.469291999999999</v>
      </c>
      <c r="O121" s="21">
        <v>8152</v>
      </c>
      <c r="P121" s="21">
        <v>12.22536</v>
      </c>
      <c r="Q121" s="21">
        <v>8176</v>
      </c>
      <c r="R121" s="21">
        <v>14.104243</v>
      </c>
      <c r="S121" s="21">
        <v>8000</v>
      </c>
      <c r="T121" s="21">
        <f t="shared" si="53"/>
        <v>37.798895000000002</v>
      </c>
      <c r="U121" s="22">
        <f t="shared" si="53"/>
        <v>24328</v>
      </c>
      <c r="V121" s="21">
        <v>11.654999999999999</v>
      </c>
      <c r="W121" s="21">
        <v>8168</v>
      </c>
      <c r="X121" s="21"/>
      <c r="Y121" s="41"/>
      <c r="Z121" s="21"/>
      <c r="AA121" s="41"/>
      <c r="AB121" s="21">
        <f t="shared" si="54"/>
        <v>11.654999999999999</v>
      </c>
      <c r="AC121" s="41">
        <f>W121+Y121+AA121</f>
        <v>8168</v>
      </c>
      <c r="AD121" s="21"/>
      <c r="AE121" s="41"/>
      <c r="AF121" s="21"/>
      <c r="AG121" s="41"/>
      <c r="AH121" s="21"/>
      <c r="AI121" s="21"/>
      <c r="AJ121" s="21">
        <f>AD121+AF121+AH121</f>
        <v>0</v>
      </c>
      <c r="AK121" s="41">
        <f>AE121+AG121+AI121</f>
        <v>0</v>
      </c>
      <c r="AL121" s="21">
        <f t="shared" si="56"/>
        <v>103.471259</v>
      </c>
      <c r="AM121" s="21">
        <f t="shared" si="56"/>
        <v>55715</v>
      </c>
      <c r="AN121" s="171"/>
      <c r="AO121" s="171"/>
      <c r="AP121" s="172"/>
      <c r="AQ121" s="171"/>
      <c r="AV121" s="4"/>
    </row>
    <row r="122" spans="1:48" s="57" customFormat="1">
      <c r="A122" s="145"/>
      <c r="B122" s="145"/>
      <c r="C122" s="178"/>
      <c r="D122" s="145"/>
      <c r="E122" s="39" t="s">
        <v>36</v>
      </c>
      <c r="F122" s="21">
        <v>224985.39</v>
      </c>
      <c r="G122" s="21">
        <v>1705996</v>
      </c>
      <c r="H122" s="21">
        <v>225580.661494</v>
      </c>
      <c r="I122" s="21">
        <v>1906276</v>
      </c>
      <c r="J122" s="21">
        <v>238131.645666</v>
      </c>
      <c r="K122" s="21">
        <v>1806750</v>
      </c>
      <c r="L122" s="21">
        <f>F122+H122+J122</f>
        <v>688697.69715999998</v>
      </c>
      <c r="M122" s="21">
        <f>G122+I122+K122</f>
        <v>5419022</v>
      </c>
      <c r="N122" s="21">
        <v>248396.50441600001</v>
      </c>
      <c r="O122" s="21">
        <v>1883286</v>
      </c>
      <c r="P122" s="21">
        <v>231643.03913700001</v>
      </c>
      <c r="Q122" s="21">
        <v>1731760</v>
      </c>
      <c r="R122" s="21">
        <v>255601.47648000001</v>
      </c>
      <c r="S122" s="21">
        <v>1891985</v>
      </c>
      <c r="T122" s="21">
        <f t="shared" si="53"/>
        <v>735641.02003300004</v>
      </c>
      <c r="U122" s="22">
        <f t="shared" si="53"/>
        <v>5507031</v>
      </c>
      <c r="V122" s="21">
        <v>258419.95499999999</v>
      </c>
      <c r="W122" s="21">
        <v>1920497</v>
      </c>
      <c r="X122" s="21"/>
      <c r="Y122" s="41"/>
      <c r="Z122" s="21"/>
      <c r="AA122" s="41"/>
      <c r="AB122" s="21">
        <f t="shared" si="54"/>
        <v>258419.95499999999</v>
      </c>
      <c r="AC122" s="41">
        <f>W122+Y122+AA122</f>
        <v>1920497</v>
      </c>
      <c r="AD122" s="21"/>
      <c r="AE122" s="41"/>
      <c r="AF122" s="21"/>
      <c r="AG122" s="41"/>
      <c r="AH122" s="21"/>
      <c r="AI122" s="21"/>
      <c r="AJ122" s="21">
        <f>AD122+AF122+AH122</f>
        <v>0</v>
      </c>
      <c r="AK122" s="41">
        <f>AE122+AG122+AI122</f>
        <v>0</v>
      </c>
      <c r="AL122" s="21">
        <f t="shared" si="56"/>
        <v>1682758.6721930001</v>
      </c>
      <c r="AM122" s="21">
        <f>M122+U122+AC122+AK122</f>
        <v>12846550</v>
      </c>
      <c r="AN122" s="133"/>
      <c r="AO122" s="133"/>
      <c r="AP122" s="131"/>
      <c r="AQ122" s="133"/>
      <c r="AV122" s="4"/>
    </row>
    <row r="123" spans="1:48" s="63" customFormat="1" ht="14.25" customHeight="1">
      <c r="A123" s="146"/>
      <c r="B123" s="25"/>
      <c r="C123" s="25" t="s">
        <v>37</v>
      </c>
      <c r="D123" s="25"/>
      <c r="E123" s="25"/>
      <c r="F123" s="26">
        <f t="shared" ref="F123:AM123" si="57">SUM(F117:F122)</f>
        <v>306722.91800000001</v>
      </c>
      <c r="G123" s="26">
        <f t="shared" si="57"/>
        <v>2961994</v>
      </c>
      <c r="H123" s="26">
        <f t="shared" si="57"/>
        <v>296499.83832500002</v>
      </c>
      <c r="I123" s="26">
        <f t="shared" si="57"/>
        <v>2899112</v>
      </c>
      <c r="J123" s="26">
        <f t="shared" si="57"/>
        <v>323562.56119899999</v>
      </c>
      <c r="K123" s="26">
        <f t="shared" si="57"/>
        <v>3004916</v>
      </c>
      <c r="L123" s="26">
        <f t="shared" si="57"/>
        <v>926785.31752399995</v>
      </c>
      <c r="M123" s="26">
        <f t="shared" si="57"/>
        <v>8866022</v>
      </c>
      <c r="N123" s="26">
        <f t="shared" si="57"/>
        <v>326150.900708</v>
      </c>
      <c r="O123" s="26">
        <f t="shared" si="57"/>
        <v>3052898</v>
      </c>
      <c r="P123" s="26">
        <f t="shared" si="57"/>
        <v>317431.261497</v>
      </c>
      <c r="Q123" s="26">
        <f t="shared" si="57"/>
        <v>2950830</v>
      </c>
      <c r="R123" s="26">
        <f t="shared" si="57"/>
        <v>336973.81772300001</v>
      </c>
      <c r="S123" s="26">
        <f>SUM(S117:S122)</f>
        <v>3036889</v>
      </c>
      <c r="T123" s="26">
        <f t="shared" si="57"/>
        <v>980555.97992800002</v>
      </c>
      <c r="U123" s="26">
        <f t="shared" si="57"/>
        <v>9040617</v>
      </c>
      <c r="V123" s="26">
        <f t="shared" si="57"/>
        <v>342190.61800000002</v>
      </c>
      <c r="W123" s="26">
        <f t="shared" si="57"/>
        <v>3116340</v>
      </c>
      <c r="X123" s="26">
        <f t="shared" si="57"/>
        <v>0</v>
      </c>
      <c r="Y123" s="26">
        <f t="shared" si="57"/>
        <v>0</v>
      </c>
      <c r="Z123" s="26">
        <f t="shared" si="57"/>
        <v>0</v>
      </c>
      <c r="AA123" s="26">
        <f t="shared" si="57"/>
        <v>0</v>
      </c>
      <c r="AB123" s="26">
        <f t="shared" si="57"/>
        <v>342190.61800000002</v>
      </c>
      <c r="AC123" s="26">
        <f t="shared" si="57"/>
        <v>3116340</v>
      </c>
      <c r="AD123" s="26">
        <f t="shared" si="57"/>
        <v>0</v>
      </c>
      <c r="AE123" s="26">
        <f t="shared" si="57"/>
        <v>0</v>
      </c>
      <c r="AF123" s="26">
        <f t="shared" si="57"/>
        <v>0</v>
      </c>
      <c r="AG123" s="26">
        <f t="shared" si="57"/>
        <v>0</v>
      </c>
      <c r="AH123" s="26">
        <f t="shared" si="57"/>
        <v>0</v>
      </c>
      <c r="AI123" s="26">
        <f t="shared" si="57"/>
        <v>0</v>
      </c>
      <c r="AJ123" s="26">
        <f t="shared" si="57"/>
        <v>0</v>
      </c>
      <c r="AK123" s="26">
        <f t="shared" si="57"/>
        <v>0</v>
      </c>
      <c r="AL123" s="26">
        <f>SUM(AL117:AL122)</f>
        <v>2249531.9154520002</v>
      </c>
      <c r="AM123" s="26">
        <f t="shared" si="57"/>
        <v>21022979</v>
      </c>
      <c r="AN123" s="27">
        <v>4374200</v>
      </c>
      <c r="AO123" s="27">
        <f>AN123/12*$AO$8</f>
        <v>1458066.6666666667</v>
      </c>
      <c r="AP123" s="28">
        <f>AL123/AO123</f>
        <v>1.5428182859393718</v>
      </c>
      <c r="AQ123" s="26"/>
      <c r="AV123" s="30"/>
    </row>
    <row r="124" spans="1:48" s="57" customFormat="1">
      <c r="A124" s="54"/>
      <c r="B124" s="54"/>
      <c r="C124" s="94" t="s">
        <v>112</v>
      </c>
      <c r="D124" s="5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96"/>
      <c r="AQ124" s="86"/>
      <c r="AV124" s="4"/>
    </row>
    <row r="125" spans="1:48" s="57" customFormat="1" ht="33" customHeight="1">
      <c r="A125" s="175">
        <f>A117+1</f>
        <v>33</v>
      </c>
      <c r="B125" s="175">
        <f>B121+1</f>
        <v>36</v>
      </c>
      <c r="C125" s="175" t="s">
        <v>113</v>
      </c>
      <c r="D125" s="175" t="s">
        <v>114</v>
      </c>
      <c r="E125" s="39" t="s">
        <v>35</v>
      </c>
      <c r="F125" s="22">
        <v>106.72199999999999</v>
      </c>
      <c r="G125" s="22">
        <v>3558</v>
      </c>
      <c r="H125" s="22">
        <v>131.51300000000001</v>
      </c>
      <c r="I125" s="22">
        <v>5518</v>
      </c>
      <c r="J125" s="22">
        <v>110.35</v>
      </c>
      <c r="K125" s="22">
        <v>3493</v>
      </c>
      <c r="L125" s="22">
        <f>F125+H125+J125</f>
        <v>348.58500000000004</v>
      </c>
      <c r="M125" s="22">
        <f>G125+I125+K125</f>
        <v>12569</v>
      </c>
      <c r="N125" s="22">
        <v>117.02200000000001</v>
      </c>
      <c r="O125" s="22">
        <v>3590</v>
      </c>
      <c r="P125" s="22">
        <v>158.00899999999999</v>
      </c>
      <c r="Q125" s="22">
        <v>3548</v>
      </c>
      <c r="R125" s="22">
        <v>132.25899999999999</v>
      </c>
      <c r="S125" s="22">
        <v>3450</v>
      </c>
      <c r="T125" s="21">
        <f>N125+P125+R125</f>
        <v>407.28999999999996</v>
      </c>
      <c r="U125" s="22">
        <f>O125+Q125+S125</f>
        <v>10588</v>
      </c>
      <c r="V125" s="22">
        <v>123.71599999999999</v>
      </c>
      <c r="W125" s="22">
        <v>3293</v>
      </c>
      <c r="X125" s="22"/>
      <c r="Y125" s="22"/>
      <c r="Z125" s="22"/>
      <c r="AA125" s="22"/>
      <c r="AB125" s="21">
        <f>V125+X125+Z125</f>
        <v>123.71599999999999</v>
      </c>
      <c r="AC125" s="21">
        <f>W125+Y125+AA125</f>
        <v>3293</v>
      </c>
      <c r="AD125" s="22"/>
      <c r="AE125" s="22"/>
      <c r="AF125" s="22"/>
      <c r="AG125" s="22"/>
      <c r="AH125" s="22"/>
      <c r="AI125" s="22"/>
      <c r="AJ125" s="21">
        <f>AD125+AF125+AH125</f>
        <v>0</v>
      </c>
      <c r="AK125" s="21">
        <f>AE125+AG125+AI125</f>
        <v>0</v>
      </c>
      <c r="AL125" s="21">
        <f>L125+T125+AB125+AJ125</f>
        <v>879.59100000000001</v>
      </c>
      <c r="AM125" s="21">
        <f>M125+U125+AC125+AK125</f>
        <v>26450</v>
      </c>
      <c r="AN125" s="183"/>
      <c r="AO125" s="179"/>
      <c r="AP125" s="130"/>
      <c r="AQ125" s="179"/>
      <c r="AV125" s="4"/>
    </row>
    <row r="126" spans="1:48" s="57" customFormat="1" ht="36" customHeight="1">
      <c r="A126" s="176"/>
      <c r="B126" s="178"/>
      <c r="C126" s="178"/>
      <c r="D126" s="178"/>
      <c r="E126" s="39" t="s">
        <v>36</v>
      </c>
      <c r="F126" s="22">
        <v>1795.1010000000001</v>
      </c>
      <c r="G126" s="22">
        <v>70712</v>
      </c>
      <c r="H126" s="22">
        <v>2316.1480000000001</v>
      </c>
      <c r="I126" s="22">
        <v>106296</v>
      </c>
      <c r="J126" s="22">
        <v>1867.52</v>
      </c>
      <c r="K126" s="22">
        <v>72891</v>
      </c>
      <c r="L126" s="22">
        <f>F126+H126+J126</f>
        <v>5978.7690000000002</v>
      </c>
      <c r="M126" s="22">
        <f>G126+I126+K126</f>
        <v>249899</v>
      </c>
      <c r="N126" s="22">
        <v>1968.5</v>
      </c>
      <c r="O126" s="22">
        <v>75602</v>
      </c>
      <c r="P126" s="22">
        <v>2833.6889999999999</v>
      </c>
      <c r="Q126" s="22">
        <v>75468</v>
      </c>
      <c r="R126" s="22">
        <v>2451.6729999999998</v>
      </c>
      <c r="S126" s="22">
        <v>74919</v>
      </c>
      <c r="T126" s="21">
        <f>N126+P126+R126</f>
        <v>7253.8620000000001</v>
      </c>
      <c r="U126" s="22">
        <f>O126+Q126+S126</f>
        <v>225989</v>
      </c>
      <c r="V126" s="22">
        <v>2246.2620000000002</v>
      </c>
      <c r="W126" s="22">
        <v>72310</v>
      </c>
      <c r="X126" s="22"/>
      <c r="Y126" s="22"/>
      <c r="Z126" s="22"/>
      <c r="AA126" s="22"/>
      <c r="AB126" s="21">
        <f>V126+X126+Z126</f>
        <v>2246.2620000000002</v>
      </c>
      <c r="AC126" s="21">
        <f>W126+Y126+AA126</f>
        <v>72310</v>
      </c>
      <c r="AD126" s="22"/>
      <c r="AE126" s="22"/>
      <c r="AF126" s="22"/>
      <c r="AG126" s="22"/>
      <c r="AH126" s="22"/>
      <c r="AI126" s="22"/>
      <c r="AJ126" s="21">
        <f>AD126+AF126+AH126</f>
        <v>0</v>
      </c>
      <c r="AK126" s="21">
        <f>AE126+AG126+AI126</f>
        <v>0</v>
      </c>
      <c r="AL126" s="21">
        <f>L126+T126+AB126+AJ126</f>
        <v>15478.893000000002</v>
      </c>
      <c r="AM126" s="21">
        <f>M126+U126+AC126+AK126</f>
        <v>548198</v>
      </c>
      <c r="AN126" s="184"/>
      <c r="AO126" s="180"/>
      <c r="AP126" s="131"/>
      <c r="AQ126" s="180"/>
      <c r="AV126" s="4"/>
    </row>
    <row r="127" spans="1:48" s="100" customFormat="1" ht="18.75" customHeight="1">
      <c r="A127" s="177"/>
      <c r="B127" s="24"/>
      <c r="C127" s="103" t="s">
        <v>37</v>
      </c>
      <c r="D127" s="24"/>
      <c r="E127" s="52"/>
      <c r="F127" s="71">
        <f t="shared" ref="F127:AL127" si="58">F125+F126</f>
        <v>1901.8230000000001</v>
      </c>
      <c r="G127" s="71">
        <f t="shared" si="58"/>
        <v>74270</v>
      </c>
      <c r="H127" s="71">
        <f t="shared" si="58"/>
        <v>2447.6610000000001</v>
      </c>
      <c r="I127" s="71">
        <f t="shared" si="58"/>
        <v>111814</v>
      </c>
      <c r="J127" s="71">
        <f t="shared" si="58"/>
        <v>1977.87</v>
      </c>
      <c r="K127" s="71">
        <f t="shared" si="58"/>
        <v>76384</v>
      </c>
      <c r="L127" s="71">
        <f t="shared" si="58"/>
        <v>6327.3540000000003</v>
      </c>
      <c r="M127" s="71">
        <f t="shared" si="58"/>
        <v>262468</v>
      </c>
      <c r="N127" s="71">
        <f t="shared" si="58"/>
        <v>2085.5219999999999</v>
      </c>
      <c r="O127" s="71">
        <f t="shared" si="58"/>
        <v>79192</v>
      </c>
      <c r="P127" s="71">
        <f t="shared" si="58"/>
        <v>2991.6979999999999</v>
      </c>
      <c r="Q127" s="71">
        <f t="shared" si="58"/>
        <v>79016</v>
      </c>
      <c r="R127" s="71">
        <f t="shared" si="58"/>
        <v>2583.9319999999998</v>
      </c>
      <c r="S127" s="71">
        <f t="shared" si="58"/>
        <v>78369</v>
      </c>
      <c r="T127" s="71">
        <f t="shared" si="58"/>
        <v>7661.152</v>
      </c>
      <c r="U127" s="71">
        <f t="shared" si="58"/>
        <v>236577</v>
      </c>
      <c r="V127" s="71">
        <f t="shared" si="58"/>
        <v>2369.9780000000001</v>
      </c>
      <c r="W127" s="71">
        <f t="shared" si="58"/>
        <v>75603</v>
      </c>
      <c r="X127" s="71">
        <f t="shared" si="58"/>
        <v>0</v>
      </c>
      <c r="Y127" s="71">
        <f t="shared" si="58"/>
        <v>0</v>
      </c>
      <c r="Z127" s="71">
        <f t="shared" si="58"/>
        <v>0</v>
      </c>
      <c r="AA127" s="71">
        <f t="shared" si="58"/>
        <v>0</v>
      </c>
      <c r="AB127" s="71">
        <f t="shared" si="58"/>
        <v>2369.9780000000001</v>
      </c>
      <c r="AC127" s="71">
        <f t="shared" si="58"/>
        <v>75603</v>
      </c>
      <c r="AD127" s="71">
        <f t="shared" si="58"/>
        <v>0</v>
      </c>
      <c r="AE127" s="71">
        <f t="shared" si="58"/>
        <v>0</v>
      </c>
      <c r="AF127" s="71">
        <f t="shared" si="58"/>
        <v>0</v>
      </c>
      <c r="AG127" s="71">
        <f t="shared" si="58"/>
        <v>0</v>
      </c>
      <c r="AH127" s="71">
        <f t="shared" si="58"/>
        <v>0</v>
      </c>
      <c r="AI127" s="71">
        <f t="shared" si="58"/>
        <v>0</v>
      </c>
      <c r="AJ127" s="71">
        <f t="shared" si="58"/>
        <v>0</v>
      </c>
      <c r="AK127" s="71">
        <f t="shared" si="58"/>
        <v>0</v>
      </c>
      <c r="AL127" s="71">
        <f t="shared" si="58"/>
        <v>16358.484000000002</v>
      </c>
      <c r="AM127" s="71">
        <f>AM125+AM126</f>
        <v>574648</v>
      </c>
      <c r="AN127" s="27">
        <v>120680</v>
      </c>
      <c r="AO127" s="27">
        <f>AN127/12*$AO$8</f>
        <v>40226.666666666664</v>
      </c>
      <c r="AP127" s="28">
        <f>AL127/AO127</f>
        <v>0.40665770633079223</v>
      </c>
      <c r="AQ127" s="52"/>
      <c r="AV127" s="66"/>
    </row>
    <row r="128" spans="1:48" s="57" customFormat="1" ht="35.25" customHeight="1">
      <c r="A128" s="134">
        <f>A125+1</f>
        <v>34</v>
      </c>
      <c r="B128" s="134">
        <f>B125+1</f>
        <v>37</v>
      </c>
      <c r="C128" s="181" t="s">
        <v>115</v>
      </c>
      <c r="D128" s="182" t="s">
        <v>116</v>
      </c>
      <c r="E128" s="55" t="s">
        <v>35</v>
      </c>
      <c r="F128" s="56">
        <v>2343.8539999999998</v>
      </c>
      <c r="G128" s="56">
        <v>55263</v>
      </c>
      <c r="H128" s="56">
        <v>1976.3789999999999</v>
      </c>
      <c r="I128" s="56">
        <v>55247</v>
      </c>
      <c r="J128" s="56">
        <v>2218.6089999999999</v>
      </c>
      <c r="K128" s="56">
        <v>53062</v>
      </c>
      <c r="L128" s="83">
        <f>F128+H128+J128</f>
        <v>6538.8420000000006</v>
      </c>
      <c r="M128" s="83">
        <f>G128+I128+K128</f>
        <v>163572</v>
      </c>
      <c r="N128" s="56">
        <v>2206.6559999999999</v>
      </c>
      <c r="O128" s="33">
        <v>52748</v>
      </c>
      <c r="P128" s="56">
        <v>2164.8939999999998</v>
      </c>
      <c r="Q128" s="56">
        <v>52392</v>
      </c>
      <c r="R128" s="56">
        <v>1992.921</v>
      </c>
      <c r="S128" s="56">
        <v>51706</v>
      </c>
      <c r="T128" s="83">
        <f>N128+P128+R128</f>
        <v>6364.4709999999995</v>
      </c>
      <c r="U128" s="56">
        <f>O128+Q128+S128</f>
        <v>156846</v>
      </c>
      <c r="V128" s="56">
        <v>1969.8009999999999</v>
      </c>
      <c r="W128" s="56">
        <v>52607</v>
      </c>
      <c r="X128" s="56"/>
      <c r="Y128" s="56"/>
      <c r="Z128" s="56"/>
      <c r="AA128" s="56"/>
      <c r="AB128" s="83">
        <f>V128+X128+Z128</f>
        <v>1969.8009999999999</v>
      </c>
      <c r="AC128" s="83">
        <f>W128+Y128+AA128</f>
        <v>52607</v>
      </c>
      <c r="AD128" s="56"/>
      <c r="AE128" s="56"/>
      <c r="AF128" s="56"/>
      <c r="AG128" s="56"/>
      <c r="AH128" s="56"/>
      <c r="AI128" s="56"/>
      <c r="AJ128" s="83">
        <f>AD128+AF128+AH128</f>
        <v>0</v>
      </c>
      <c r="AK128" s="83">
        <f>AE128+AG128+AI128</f>
        <v>0</v>
      </c>
      <c r="AL128" s="83">
        <f>L128+T128+AB128+AJ128</f>
        <v>14873.114</v>
      </c>
      <c r="AM128" s="83">
        <f>M128+U128+AC128+AK128</f>
        <v>373025</v>
      </c>
      <c r="AN128" s="136"/>
      <c r="AO128" s="136"/>
      <c r="AP128" s="142"/>
      <c r="AQ128" s="139"/>
      <c r="AV128" s="4"/>
    </row>
    <row r="129" spans="1:48" s="57" customFormat="1" ht="36" customHeight="1">
      <c r="A129" s="134"/>
      <c r="B129" s="134"/>
      <c r="C129" s="181"/>
      <c r="D129" s="182"/>
      <c r="E129" s="55" t="s">
        <v>36</v>
      </c>
      <c r="F129" s="56">
        <v>24486.894</v>
      </c>
      <c r="G129" s="56">
        <v>333823</v>
      </c>
      <c r="H129" s="56">
        <v>22994.784</v>
      </c>
      <c r="I129" s="56">
        <v>346377</v>
      </c>
      <c r="J129" s="56">
        <v>25731.361000000001</v>
      </c>
      <c r="K129" s="56">
        <v>337082</v>
      </c>
      <c r="L129" s="83">
        <f>F129+H129+J129</f>
        <v>73213.039000000004</v>
      </c>
      <c r="M129" s="83">
        <f>G129+I129+K129</f>
        <v>1017282</v>
      </c>
      <c r="N129" s="56">
        <v>24777.184000000001</v>
      </c>
      <c r="O129" s="33">
        <v>346123</v>
      </c>
      <c r="P129" s="56">
        <v>26223.52</v>
      </c>
      <c r="Q129" s="56">
        <v>331299</v>
      </c>
      <c r="R129" s="56">
        <v>26609.046999999999</v>
      </c>
      <c r="S129" s="56">
        <v>341391</v>
      </c>
      <c r="T129" s="83">
        <f>N129+P129+R129</f>
        <v>77609.750999999989</v>
      </c>
      <c r="U129" s="56">
        <f>O129+Q129+S129</f>
        <v>1018813</v>
      </c>
      <c r="V129" s="56">
        <f>25402.024+1.292</f>
        <v>25403.316000000003</v>
      </c>
      <c r="W129" s="56">
        <v>346674</v>
      </c>
      <c r="X129" s="56"/>
      <c r="Y129" s="56"/>
      <c r="Z129" s="56"/>
      <c r="AA129" s="56"/>
      <c r="AB129" s="83">
        <f>V129+X129+Z129</f>
        <v>25403.316000000003</v>
      </c>
      <c r="AC129" s="83">
        <f>W129+Y129+AA129</f>
        <v>346674</v>
      </c>
      <c r="AD129" s="56"/>
      <c r="AE129" s="56"/>
      <c r="AF129" s="56"/>
      <c r="AG129" s="56"/>
      <c r="AH129" s="56"/>
      <c r="AI129" s="56"/>
      <c r="AJ129" s="83">
        <f>AD129+AF129+AH129</f>
        <v>0</v>
      </c>
      <c r="AK129" s="83">
        <f>AE129+AG129+AI129</f>
        <v>0</v>
      </c>
      <c r="AL129" s="83">
        <f>L129+T129+AB129+AJ129</f>
        <v>176226.10599999997</v>
      </c>
      <c r="AM129" s="83">
        <f>M129+U129+AC129+AK129</f>
        <v>2382769</v>
      </c>
      <c r="AN129" s="138"/>
      <c r="AO129" s="138"/>
      <c r="AP129" s="144"/>
      <c r="AQ129" s="141"/>
      <c r="AV129" s="4"/>
    </row>
    <row r="130" spans="1:48" s="63" customFormat="1" ht="13.5" customHeight="1">
      <c r="A130" s="135"/>
      <c r="B130" s="135"/>
      <c r="C130" s="104" t="s">
        <v>37</v>
      </c>
      <c r="D130" s="105"/>
      <c r="E130" s="60"/>
      <c r="F130" s="60">
        <f t="shared" ref="F130:AM130" si="59">SUM(F128:F129)</f>
        <v>26830.748</v>
      </c>
      <c r="G130" s="60">
        <f t="shared" si="59"/>
        <v>389086</v>
      </c>
      <c r="H130" s="60">
        <f t="shared" si="59"/>
        <v>24971.163</v>
      </c>
      <c r="I130" s="60">
        <f t="shared" si="59"/>
        <v>401624</v>
      </c>
      <c r="J130" s="60">
        <f t="shared" si="59"/>
        <v>27949.97</v>
      </c>
      <c r="K130" s="60">
        <f t="shared" si="59"/>
        <v>390144</v>
      </c>
      <c r="L130" s="60">
        <f t="shared" si="59"/>
        <v>79751.881000000008</v>
      </c>
      <c r="M130" s="60">
        <f t="shared" si="59"/>
        <v>1180854</v>
      </c>
      <c r="N130" s="60">
        <f t="shared" si="59"/>
        <v>26983.84</v>
      </c>
      <c r="O130" s="60">
        <f t="shared" si="59"/>
        <v>398871</v>
      </c>
      <c r="P130" s="60">
        <f t="shared" si="59"/>
        <v>28388.414000000001</v>
      </c>
      <c r="Q130" s="60">
        <f t="shared" si="59"/>
        <v>383691</v>
      </c>
      <c r="R130" s="60">
        <f t="shared" si="59"/>
        <v>28601.967999999997</v>
      </c>
      <c r="S130" s="60">
        <f t="shared" si="59"/>
        <v>393097</v>
      </c>
      <c r="T130" s="60">
        <f t="shared" si="59"/>
        <v>83974.221999999994</v>
      </c>
      <c r="U130" s="60">
        <f t="shared" si="59"/>
        <v>1175659</v>
      </c>
      <c r="V130" s="62">
        <f t="shared" si="59"/>
        <v>27373.117000000002</v>
      </c>
      <c r="W130" s="62">
        <f t="shared" si="59"/>
        <v>399281</v>
      </c>
      <c r="X130" s="60">
        <f t="shared" si="59"/>
        <v>0</v>
      </c>
      <c r="Y130" s="60">
        <f t="shared" si="59"/>
        <v>0</v>
      </c>
      <c r="Z130" s="60">
        <f t="shared" si="59"/>
        <v>0</v>
      </c>
      <c r="AA130" s="60">
        <f t="shared" si="59"/>
        <v>0</v>
      </c>
      <c r="AB130" s="60">
        <f t="shared" si="59"/>
        <v>27373.117000000002</v>
      </c>
      <c r="AC130" s="60">
        <f t="shared" si="59"/>
        <v>399281</v>
      </c>
      <c r="AD130" s="60">
        <f t="shared" si="59"/>
        <v>0</v>
      </c>
      <c r="AE130" s="60">
        <f t="shared" si="59"/>
        <v>0</v>
      </c>
      <c r="AF130" s="60">
        <f t="shared" si="59"/>
        <v>0</v>
      </c>
      <c r="AG130" s="60">
        <f t="shared" si="59"/>
        <v>0</v>
      </c>
      <c r="AH130" s="60">
        <f t="shared" si="59"/>
        <v>0</v>
      </c>
      <c r="AI130" s="60">
        <f t="shared" si="59"/>
        <v>0</v>
      </c>
      <c r="AJ130" s="60">
        <f t="shared" si="59"/>
        <v>0</v>
      </c>
      <c r="AK130" s="60">
        <f t="shared" si="59"/>
        <v>0</v>
      </c>
      <c r="AL130" s="60">
        <f t="shared" si="59"/>
        <v>191099.21999999997</v>
      </c>
      <c r="AM130" s="60">
        <f t="shared" si="59"/>
        <v>2755794</v>
      </c>
      <c r="AN130" s="27">
        <v>352167</v>
      </c>
      <c r="AO130" s="27">
        <f>AN130/12*$AO$8</f>
        <v>117389</v>
      </c>
      <c r="AP130" s="28">
        <f>AL130/AO130</f>
        <v>1.627914199797255</v>
      </c>
      <c r="AQ130" s="62"/>
      <c r="AV130" s="30"/>
    </row>
    <row r="131" spans="1:48" s="57" customFormat="1" ht="16.5" customHeight="1">
      <c r="A131" s="54"/>
      <c r="B131" s="54"/>
      <c r="C131" s="94" t="s">
        <v>117</v>
      </c>
      <c r="D131" s="54"/>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6"/>
      <c r="AQ131" s="95"/>
      <c r="AV131" s="4"/>
    </row>
    <row r="132" spans="1:48" s="57" customFormat="1" ht="35.25" customHeight="1">
      <c r="A132" s="175">
        <f>+A128+1</f>
        <v>35</v>
      </c>
      <c r="B132" s="145">
        <f>+B128+1</f>
        <v>38</v>
      </c>
      <c r="C132" s="145" t="s">
        <v>118</v>
      </c>
      <c r="D132" s="145" t="s">
        <v>119</v>
      </c>
      <c r="E132" s="39" t="s">
        <v>35</v>
      </c>
      <c r="F132" s="22">
        <v>3156.3539999999998</v>
      </c>
      <c r="G132" s="22">
        <v>37772</v>
      </c>
      <c r="H132" s="22">
        <v>2344.88</v>
      </c>
      <c r="I132" s="22">
        <v>34437</v>
      </c>
      <c r="J132" s="22">
        <v>2812.3249999999998</v>
      </c>
      <c r="K132" s="22">
        <v>33702</v>
      </c>
      <c r="L132" s="21">
        <f>F132+H132+J132</f>
        <v>8313.5590000000011</v>
      </c>
      <c r="M132" s="21">
        <f>G132+I132+K132</f>
        <v>105911</v>
      </c>
      <c r="N132" s="22">
        <v>2791.9549999999999</v>
      </c>
      <c r="O132" s="22">
        <v>34277</v>
      </c>
      <c r="P132" s="22">
        <v>2891.364</v>
      </c>
      <c r="Q132" s="22">
        <v>36353</v>
      </c>
      <c r="R132" s="22">
        <v>2713.482</v>
      </c>
      <c r="S132" s="22">
        <v>35055</v>
      </c>
      <c r="T132" s="21">
        <f>N132+P132+R132</f>
        <v>8396.8009999999995</v>
      </c>
      <c r="U132" s="22">
        <f>O132+Q132+S132</f>
        <v>105685</v>
      </c>
      <c r="V132" s="22">
        <v>2483</v>
      </c>
      <c r="W132" s="22">
        <v>32242</v>
      </c>
      <c r="X132" s="22"/>
      <c r="Y132" s="22"/>
      <c r="Z132" s="22"/>
      <c r="AA132" s="22"/>
      <c r="AB132" s="21">
        <f>V132+X132+Z132</f>
        <v>2483</v>
      </c>
      <c r="AC132" s="21">
        <f>W132+Y132+AA132</f>
        <v>32242</v>
      </c>
      <c r="AD132" s="22"/>
      <c r="AE132" s="22"/>
      <c r="AF132" s="22"/>
      <c r="AG132" s="22"/>
      <c r="AH132" s="22"/>
      <c r="AI132" s="22"/>
      <c r="AJ132" s="21">
        <f>AD132+AF132+AH132</f>
        <v>0</v>
      </c>
      <c r="AK132" s="21">
        <f>AE132+AG132+AI132</f>
        <v>0</v>
      </c>
      <c r="AL132" s="21">
        <f>L132+T132+AB132+AJ132</f>
        <v>19193.36</v>
      </c>
      <c r="AM132" s="21">
        <f>M132+U132+AC132+AK132</f>
        <v>243838</v>
      </c>
      <c r="AN132" s="149"/>
      <c r="AO132" s="149"/>
      <c r="AP132" s="130"/>
      <c r="AQ132" s="132"/>
      <c r="AV132" s="4"/>
    </row>
    <row r="133" spans="1:48" s="57" customFormat="1" ht="19.5" customHeight="1">
      <c r="A133" s="176"/>
      <c r="B133" s="145"/>
      <c r="C133" s="145"/>
      <c r="D133" s="145"/>
      <c r="E133" s="39" t="s">
        <v>36</v>
      </c>
      <c r="F133" s="22">
        <v>15504.68</v>
      </c>
      <c r="G133" s="22">
        <v>197914</v>
      </c>
      <c r="H133" s="22">
        <v>14021.888999999999</v>
      </c>
      <c r="I133" s="22">
        <v>214070</v>
      </c>
      <c r="J133" s="22">
        <v>15260.804</v>
      </c>
      <c r="K133" s="22">
        <v>195105</v>
      </c>
      <c r="L133" s="21">
        <f>F133+H133+J133</f>
        <v>44787.373</v>
      </c>
      <c r="M133" s="21">
        <f>G133+I133+K133</f>
        <v>607089</v>
      </c>
      <c r="N133" s="22">
        <v>15292.19</v>
      </c>
      <c r="O133" s="22">
        <v>202920</v>
      </c>
      <c r="P133" s="22">
        <v>16553.177</v>
      </c>
      <c r="Q133" s="22">
        <v>215547</v>
      </c>
      <c r="R133" s="22">
        <v>16690.210999999999</v>
      </c>
      <c r="S133" s="22">
        <v>218905</v>
      </c>
      <c r="T133" s="21">
        <f>N133+P133+R133</f>
        <v>48535.577999999994</v>
      </c>
      <c r="U133" s="22">
        <f>O133+Q133+S133</f>
        <v>637372</v>
      </c>
      <c r="V133" s="22">
        <v>16486</v>
      </c>
      <c r="W133" s="22">
        <v>219562</v>
      </c>
      <c r="X133" s="22"/>
      <c r="Y133" s="22"/>
      <c r="Z133" s="22"/>
      <c r="AA133" s="22"/>
      <c r="AB133" s="21">
        <f>V133+X133+Z133</f>
        <v>16486</v>
      </c>
      <c r="AC133" s="21">
        <f>W133+Y133+AA133</f>
        <v>219562</v>
      </c>
      <c r="AD133" s="22"/>
      <c r="AE133" s="22"/>
      <c r="AF133" s="22"/>
      <c r="AG133" s="22"/>
      <c r="AH133" s="22"/>
      <c r="AI133" s="22"/>
      <c r="AJ133" s="21">
        <f>AD133+AF133+AH133</f>
        <v>0</v>
      </c>
      <c r="AK133" s="21">
        <f>AE133+AG133+AI133</f>
        <v>0</v>
      </c>
      <c r="AL133" s="21">
        <f>L133+T133+AB133+AJ133</f>
        <v>109808.951</v>
      </c>
      <c r="AM133" s="21">
        <f>M133+U133+AC133+AK133</f>
        <v>1464023</v>
      </c>
      <c r="AN133" s="150"/>
      <c r="AO133" s="150"/>
      <c r="AP133" s="131"/>
      <c r="AQ133" s="133"/>
      <c r="AV133" s="4"/>
    </row>
    <row r="134" spans="1:48" s="63" customFormat="1" ht="15.75" customHeight="1">
      <c r="A134" s="177"/>
      <c r="B134" s="25"/>
      <c r="C134" s="25" t="s">
        <v>37</v>
      </c>
      <c r="D134" s="25"/>
      <c r="E134" s="71"/>
      <c r="F134" s="71">
        <f t="shared" ref="F134:AM134" si="60">SUM(F132:F133)</f>
        <v>18661.034</v>
      </c>
      <c r="G134" s="71">
        <f t="shared" si="60"/>
        <v>235686</v>
      </c>
      <c r="H134" s="71">
        <f t="shared" si="60"/>
        <v>16366.769</v>
      </c>
      <c r="I134" s="71">
        <f t="shared" si="60"/>
        <v>248507</v>
      </c>
      <c r="J134" s="71">
        <f t="shared" si="60"/>
        <v>18073.129000000001</v>
      </c>
      <c r="K134" s="71">
        <f t="shared" si="60"/>
        <v>228807</v>
      </c>
      <c r="L134" s="71">
        <f t="shared" si="60"/>
        <v>53100.932000000001</v>
      </c>
      <c r="M134" s="71">
        <f t="shared" si="60"/>
        <v>713000</v>
      </c>
      <c r="N134" s="71">
        <f t="shared" si="60"/>
        <v>18084.145</v>
      </c>
      <c r="O134" s="71">
        <f t="shared" si="60"/>
        <v>237197</v>
      </c>
      <c r="P134" s="71">
        <f t="shared" si="60"/>
        <v>19444.541000000001</v>
      </c>
      <c r="Q134" s="71">
        <f t="shared" si="60"/>
        <v>251900</v>
      </c>
      <c r="R134" s="71">
        <f t="shared" si="60"/>
        <v>19403.692999999999</v>
      </c>
      <c r="S134" s="71">
        <f t="shared" si="60"/>
        <v>253960</v>
      </c>
      <c r="T134" s="71">
        <f>SUM(T132:T133)</f>
        <v>56932.378999999994</v>
      </c>
      <c r="U134" s="71">
        <f t="shared" si="60"/>
        <v>743057</v>
      </c>
      <c r="V134" s="71">
        <f t="shared" si="60"/>
        <v>18969</v>
      </c>
      <c r="W134" s="71">
        <f t="shared" si="60"/>
        <v>251804</v>
      </c>
      <c r="X134" s="71">
        <f t="shared" si="60"/>
        <v>0</v>
      </c>
      <c r="Y134" s="71">
        <f t="shared" si="60"/>
        <v>0</v>
      </c>
      <c r="Z134" s="71">
        <f t="shared" si="60"/>
        <v>0</v>
      </c>
      <c r="AA134" s="71">
        <f t="shared" si="60"/>
        <v>0</v>
      </c>
      <c r="AB134" s="71">
        <f t="shared" si="60"/>
        <v>18969</v>
      </c>
      <c r="AC134" s="71">
        <f t="shared" si="60"/>
        <v>251804</v>
      </c>
      <c r="AD134" s="71">
        <f t="shared" si="60"/>
        <v>0</v>
      </c>
      <c r="AE134" s="71">
        <f t="shared" si="60"/>
        <v>0</v>
      </c>
      <c r="AF134" s="71">
        <f t="shared" si="60"/>
        <v>0</v>
      </c>
      <c r="AG134" s="71">
        <f t="shared" si="60"/>
        <v>0</v>
      </c>
      <c r="AH134" s="71">
        <f t="shared" si="60"/>
        <v>0</v>
      </c>
      <c r="AI134" s="71">
        <f t="shared" si="60"/>
        <v>0</v>
      </c>
      <c r="AJ134" s="71">
        <f t="shared" si="60"/>
        <v>0</v>
      </c>
      <c r="AK134" s="71">
        <f t="shared" si="60"/>
        <v>0</v>
      </c>
      <c r="AL134" s="71">
        <f t="shared" si="60"/>
        <v>129002.311</v>
      </c>
      <c r="AM134" s="71">
        <f t="shared" si="60"/>
        <v>1707861</v>
      </c>
      <c r="AN134" s="27">
        <v>169580</v>
      </c>
      <c r="AO134" s="27">
        <f>AN134/12*$AO$8</f>
        <v>56526.666666666664</v>
      </c>
      <c r="AP134" s="28">
        <f>AL134/AO134</f>
        <v>2.2821496225970046</v>
      </c>
      <c r="AQ134" s="26"/>
      <c r="AV134" s="30"/>
    </row>
    <row r="135" spans="1:48" s="57" customFormat="1" ht="30" customHeight="1">
      <c r="A135" s="157">
        <f>+A132+1</f>
        <v>36</v>
      </c>
      <c r="B135" s="134">
        <f>+B132+1</f>
        <v>39</v>
      </c>
      <c r="C135" s="134" t="s">
        <v>120</v>
      </c>
      <c r="D135" s="134" t="s">
        <v>171</v>
      </c>
      <c r="E135" s="55" t="s">
        <v>35</v>
      </c>
      <c r="F135" s="56">
        <v>4507.2650000000003</v>
      </c>
      <c r="G135" s="56">
        <v>76232</v>
      </c>
      <c r="H135" s="56">
        <v>3837.873</v>
      </c>
      <c r="I135" s="56">
        <v>73202</v>
      </c>
      <c r="J135" s="56">
        <f t="shared" ref="J135:K138" si="61">L135-F135-H135</f>
        <v>4164.232</v>
      </c>
      <c r="K135" s="56">
        <f t="shared" si="61"/>
        <v>70487</v>
      </c>
      <c r="L135" s="83">
        <v>12509.37</v>
      </c>
      <c r="M135" s="83">
        <v>219921</v>
      </c>
      <c r="N135" s="56">
        <v>4005.0830000000001</v>
      </c>
      <c r="O135" s="56">
        <v>68692</v>
      </c>
      <c r="P135" s="56">
        <v>3788.5059999999999</v>
      </c>
      <c r="Q135" s="56">
        <v>66605</v>
      </c>
      <c r="R135" s="56">
        <v>3935.6060000000002</v>
      </c>
      <c r="S135" s="56">
        <v>71398</v>
      </c>
      <c r="T135" s="83">
        <f t="shared" ref="T135:U138" si="62">N135+P135+R135</f>
        <v>11729.195</v>
      </c>
      <c r="U135" s="56">
        <f t="shared" si="62"/>
        <v>206695</v>
      </c>
      <c r="V135" s="56">
        <v>3939.0520000000001</v>
      </c>
      <c r="W135" s="56">
        <v>73553</v>
      </c>
      <c r="X135" s="33"/>
      <c r="Y135" s="33"/>
      <c r="Z135" s="56"/>
      <c r="AA135" s="56"/>
      <c r="AB135" s="83">
        <f t="shared" ref="AB135:AC138" si="63">V135+X135+Z135</f>
        <v>3939.0520000000001</v>
      </c>
      <c r="AC135" s="83">
        <f t="shared" si="63"/>
        <v>73553</v>
      </c>
      <c r="AD135" s="56"/>
      <c r="AE135" s="56"/>
      <c r="AF135" s="56"/>
      <c r="AG135" s="56"/>
      <c r="AH135" s="56"/>
      <c r="AI135" s="56"/>
      <c r="AJ135" s="83">
        <f t="shared" ref="AJ135:AK138" si="64">AD135+AF135+AH135</f>
        <v>0</v>
      </c>
      <c r="AK135" s="83">
        <f t="shared" si="64"/>
        <v>0</v>
      </c>
      <c r="AL135" s="83">
        <f t="shared" ref="AL135:AM138" si="65">L135+T135+AB135+AJ135</f>
        <v>28177.617000000002</v>
      </c>
      <c r="AM135" s="83">
        <f t="shared" si="65"/>
        <v>500169</v>
      </c>
      <c r="AN135" s="136"/>
      <c r="AO135" s="136"/>
      <c r="AP135" s="142"/>
      <c r="AQ135" s="139"/>
      <c r="AV135" s="4"/>
    </row>
    <row r="136" spans="1:48" s="57" customFormat="1" ht="30.75" customHeight="1">
      <c r="A136" s="158"/>
      <c r="B136" s="134"/>
      <c r="C136" s="134"/>
      <c r="D136" s="134"/>
      <c r="E136" s="55" t="s">
        <v>36</v>
      </c>
      <c r="F136" s="56">
        <v>8178.0519999999997</v>
      </c>
      <c r="G136" s="56">
        <v>131029</v>
      </c>
      <c r="H136" s="56">
        <v>7697.6819999999998</v>
      </c>
      <c r="I136" s="56">
        <v>140948</v>
      </c>
      <c r="J136" s="56">
        <f t="shared" si="61"/>
        <v>8193.0609999999979</v>
      </c>
      <c r="K136" s="56">
        <f t="shared" si="61"/>
        <v>131039</v>
      </c>
      <c r="L136" s="83">
        <v>24068.794999999998</v>
      </c>
      <c r="M136" s="83">
        <v>403016</v>
      </c>
      <c r="N136" s="56">
        <v>7801.5389999999998</v>
      </c>
      <c r="O136" s="56">
        <v>128999</v>
      </c>
      <c r="P136" s="56">
        <v>7805.8779999999997</v>
      </c>
      <c r="Q136" s="56">
        <v>128521</v>
      </c>
      <c r="R136" s="56">
        <v>8315.5910000000003</v>
      </c>
      <c r="S136" s="56">
        <v>138779</v>
      </c>
      <c r="T136" s="83">
        <f t="shared" si="62"/>
        <v>23923.008000000002</v>
      </c>
      <c r="U136" s="56">
        <f t="shared" si="62"/>
        <v>396299</v>
      </c>
      <c r="V136" s="56">
        <v>8384.2099999999991</v>
      </c>
      <c r="W136" s="56">
        <v>144059</v>
      </c>
      <c r="X136" s="33"/>
      <c r="Y136" s="33"/>
      <c r="Z136" s="56"/>
      <c r="AA136" s="56"/>
      <c r="AB136" s="83">
        <f t="shared" si="63"/>
        <v>8384.2099999999991</v>
      </c>
      <c r="AC136" s="83">
        <f t="shared" si="63"/>
        <v>144059</v>
      </c>
      <c r="AD136" s="56"/>
      <c r="AE136" s="56"/>
      <c r="AF136" s="56"/>
      <c r="AG136" s="56"/>
      <c r="AH136" s="56"/>
      <c r="AI136" s="56"/>
      <c r="AJ136" s="83">
        <f t="shared" si="64"/>
        <v>0</v>
      </c>
      <c r="AK136" s="83">
        <f t="shared" si="64"/>
        <v>0</v>
      </c>
      <c r="AL136" s="83">
        <f t="shared" si="65"/>
        <v>56376.012999999999</v>
      </c>
      <c r="AM136" s="83">
        <f t="shared" si="65"/>
        <v>943374</v>
      </c>
      <c r="AN136" s="137"/>
      <c r="AO136" s="137"/>
      <c r="AP136" s="143"/>
      <c r="AQ136" s="140"/>
      <c r="AV136" s="4"/>
    </row>
    <row r="137" spans="1:48" s="57" customFormat="1" ht="27" customHeight="1">
      <c r="A137" s="158"/>
      <c r="B137" s="134">
        <f>B135+1</f>
        <v>40</v>
      </c>
      <c r="C137" s="134"/>
      <c r="D137" s="134" t="s">
        <v>172</v>
      </c>
      <c r="E137" s="55" t="s">
        <v>35</v>
      </c>
      <c r="F137" s="56">
        <v>2063.9810000000002</v>
      </c>
      <c r="G137" s="56">
        <v>28929</v>
      </c>
      <c r="H137" s="56">
        <v>1833.104</v>
      </c>
      <c r="I137" s="56">
        <v>31136</v>
      </c>
      <c r="J137" s="56">
        <f t="shared" si="61"/>
        <v>1992.8729999999994</v>
      </c>
      <c r="K137" s="56">
        <f t="shared" si="61"/>
        <v>28417</v>
      </c>
      <c r="L137" s="83">
        <v>5889.9579999999996</v>
      </c>
      <c r="M137" s="83">
        <v>88482</v>
      </c>
      <c r="N137" s="56">
        <v>1871.636</v>
      </c>
      <c r="O137" s="56">
        <v>27351</v>
      </c>
      <c r="P137" s="56">
        <v>1839.5909999999999</v>
      </c>
      <c r="Q137" s="56">
        <v>27014</v>
      </c>
      <c r="R137" s="56">
        <v>1955.3150000000001</v>
      </c>
      <c r="S137" s="56">
        <v>30783</v>
      </c>
      <c r="T137" s="83">
        <f t="shared" si="62"/>
        <v>5666.5419999999995</v>
      </c>
      <c r="U137" s="56">
        <f t="shared" si="62"/>
        <v>85148</v>
      </c>
      <c r="V137" s="56">
        <v>2040.097</v>
      </c>
      <c r="W137" s="56">
        <v>32967</v>
      </c>
      <c r="X137" s="33"/>
      <c r="Y137" s="33"/>
      <c r="Z137" s="56"/>
      <c r="AA137" s="56"/>
      <c r="AB137" s="83">
        <f t="shared" si="63"/>
        <v>2040.097</v>
      </c>
      <c r="AC137" s="83">
        <f t="shared" si="63"/>
        <v>32967</v>
      </c>
      <c r="AD137" s="56"/>
      <c r="AE137" s="56"/>
      <c r="AF137" s="56"/>
      <c r="AG137" s="56"/>
      <c r="AH137" s="56"/>
      <c r="AI137" s="56"/>
      <c r="AJ137" s="83">
        <f t="shared" si="64"/>
        <v>0</v>
      </c>
      <c r="AK137" s="83">
        <f t="shared" si="64"/>
        <v>0</v>
      </c>
      <c r="AL137" s="83">
        <f t="shared" si="65"/>
        <v>13596.597</v>
      </c>
      <c r="AM137" s="83">
        <f t="shared" si="65"/>
        <v>206597</v>
      </c>
      <c r="AN137" s="137"/>
      <c r="AO137" s="137"/>
      <c r="AP137" s="143"/>
      <c r="AQ137" s="140"/>
      <c r="AV137" s="4"/>
    </row>
    <row r="138" spans="1:48" s="57" customFormat="1" ht="23.25" customHeight="1">
      <c r="A138" s="158"/>
      <c r="B138" s="134"/>
      <c r="C138" s="134"/>
      <c r="D138" s="134"/>
      <c r="E138" s="55" t="s">
        <v>36</v>
      </c>
      <c r="F138" s="56">
        <v>5592.6540000000005</v>
      </c>
      <c r="G138" s="56">
        <v>72715</v>
      </c>
      <c r="H138" s="56">
        <v>5511.2759999999998</v>
      </c>
      <c r="I138" s="56">
        <v>89417</v>
      </c>
      <c r="J138" s="56">
        <f t="shared" si="61"/>
        <v>5615.9160000000011</v>
      </c>
      <c r="K138" s="56">
        <f t="shared" si="61"/>
        <v>73945</v>
      </c>
      <c r="L138" s="83">
        <v>16719.846000000001</v>
      </c>
      <c r="M138" s="83">
        <v>236077</v>
      </c>
      <c r="N138" s="56">
        <v>5373.4070000000002</v>
      </c>
      <c r="O138" s="56">
        <v>73065</v>
      </c>
      <c r="P138" s="56">
        <v>5514.5349999999999</v>
      </c>
      <c r="Q138" s="56">
        <v>72910</v>
      </c>
      <c r="R138" s="56">
        <v>5936.7129999999997</v>
      </c>
      <c r="S138" s="56">
        <v>83264</v>
      </c>
      <c r="T138" s="83">
        <f t="shared" si="62"/>
        <v>16824.654999999999</v>
      </c>
      <c r="U138" s="56">
        <f t="shared" si="62"/>
        <v>229239</v>
      </c>
      <c r="V138" s="56">
        <v>6204.0860000000002</v>
      </c>
      <c r="W138" s="56">
        <v>89094</v>
      </c>
      <c r="X138" s="33"/>
      <c r="Y138" s="33"/>
      <c r="Z138" s="56"/>
      <c r="AA138" s="56"/>
      <c r="AB138" s="83">
        <f t="shared" si="63"/>
        <v>6204.0860000000002</v>
      </c>
      <c r="AC138" s="83">
        <f t="shared" si="63"/>
        <v>89094</v>
      </c>
      <c r="AD138" s="56"/>
      <c r="AE138" s="56"/>
      <c r="AF138" s="56"/>
      <c r="AG138" s="56"/>
      <c r="AH138" s="56"/>
      <c r="AI138" s="56"/>
      <c r="AJ138" s="83">
        <f t="shared" si="64"/>
        <v>0</v>
      </c>
      <c r="AK138" s="83">
        <f t="shared" si="64"/>
        <v>0</v>
      </c>
      <c r="AL138" s="83">
        <f t="shared" si="65"/>
        <v>39748.587000000007</v>
      </c>
      <c r="AM138" s="83">
        <f t="shared" si="65"/>
        <v>554410</v>
      </c>
      <c r="AN138" s="138"/>
      <c r="AO138" s="138"/>
      <c r="AP138" s="144"/>
      <c r="AQ138" s="141"/>
      <c r="AV138" s="4"/>
    </row>
    <row r="139" spans="1:48" s="63" customFormat="1" ht="13.5" customHeight="1">
      <c r="A139" s="159"/>
      <c r="B139" s="59"/>
      <c r="C139" s="59" t="s">
        <v>37</v>
      </c>
      <c r="D139" s="59"/>
      <c r="E139" s="60"/>
      <c r="F139" s="60">
        <f t="shared" ref="F139:AM139" si="66">SUM(F135:F138)</f>
        <v>20341.951999999997</v>
      </c>
      <c r="G139" s="60">
        <f t="shared" si="66"/>
        <v>308905</v>
      </c>
      <c r="H139" s="60">
        <f t="shared" si="66"/>
        <v>18879.934999999998</v>
      </c>
      <c r="I139" s="60">
        <f t="shared" si="66"/>
        <v>334703</v>
      </c>
      <c r="J139" s="60">
        <f t="shared" si="66"/>
        <v>19966.081999999999</v>
      </c>
      <c r="K139" s="60">
        <f t="shared" si="66"/>
        <v>303888</v>
      </c>
      <c r="L139" s="60">
        <f t="shared" si="66"/>
        <v>59187.968999999997</v>
      </c>
      <c r="M139" s="60">
        <f t="shared" si="66"/>
        <v>947496</v>
      </c>
      <c r="N139" s="60">
        <f t="shared" si="66"/>
        <v>19051.665000000001</v>
      </c>
      <c r="O139" s="60">
        <f t="shared" si="66"/>
        <v>298107</v>
      </c>
      <c r="P139" s="60">
        <f t="shared" si="66"/>
        <v>18948.510000000002</v>
      </c>
      <c r="Q139" s="60">
        <f t="shared" si="66"/>
        <v>295050</v>
      </c>
      <c r="R139" s="60">
        <f t="shared" si="66"/>
        <v>20143.224999999999</v>
      </c>
      <c r="S139" s="60">
        <f t="shared" si="66"/>
        <v>324224</v>
      </c>
      <c r="T139" s="60">
        <f t="shared" si="66"/>
        <v>58143.4</v>
      </c>
      <c r="U139" s="60">
        <f t="shared" si="66"/>
        <v>917381</v>
      </c>
      <c r="V139" s="60">
        <f t="shared" si="66"/>
        <v>20567.445</v>
      </c>
      <c r="W139" s="60">
        <f t="shared" si="66"/>
        <v>339673</v>
      </c>
      <c r="X139" s="60">
        <f t="shared" si="66"/>
        <v>0</v>
      </c>
      <c r="Y139" s="60">
        <f t="shared" si="66"/>
        <v>0</v>
      </c>
      <c r="Z139" s="60">
        <f t="shared" si="66"/>
        <v>0</v>
      </c>
      <c r="AA139" s="60">
        <f t="shared" si="66"/>
        <v>0</v>
      </c>
      <c r="AB139" s="60">
        <f t="shared" si="66"/>
        <v>20567.445</v>
      </c>
      <c r="AC139" s="60">
        <f t="shared" si="66"/>
        <v>339673</v>
      </c>
      <c r="AD139" s="60">
        <f t="shared" si="66"/>
        <v>0</v>
      </c>
      <c r="AE139" s="60">
        <f t="shared" si="66"/>
        <v>0</v>
      </c>
      <c r="AF139" s="60">
        <f t="shared" si="66"/>
        <v>0</v>
      </c>
      <c r="AG139" s="60">
        <f t="shared" si="66"/>
        <v>0</v>
      </c>
      <c r="AH139" s="60">
        <f t="shared" si="66"/>
        <v>0</v>
      </c>
      <c r="AI139" s="60">
        <f t="shared" si="66"/>
        <v>0</v>
      </c>
      <c r="AJ139" s="60">
        <f t="shared" si="66"/>
        <v>0</v>
      </c>
      <c r="AK139" s="60">
        <f t="shared" si="66"/>
        <v>0</v>
      </c>
      <c r="AL139" s="60">
        <f t="shared" si="66"/>
        <v>137898.81400000001</v>
      </c>
      <c r="AM139" s="60">
        <f t="shared" si="66"/>
        <v>2204550</v>
      </c>
      <c r="AN139" s="27">
        <v>238570</v>
      </c>
      <c r="AO139" s="27">
        <f>AN139/12*$AO$8</f>
        <v>79523.333333333328</v>
      </c>
      <c r="AP139" s="28">
        <f>AL139/AO139</f>
        <v>1.7340673261516539</v>
      </c>
      <c r="AQ139" s="60"/>
      <c r="AV139" s="30"/>
    </row>
    <row r="140" spans="1:48" s="57" customFormat="1" ht="33" customHeight="1">
      <c r="A140" s="145">
        <f>A135+1</f>
        <v>37</v>
      </c>
      <c r="B140" s="145">
        <f>B137+1</f>
        <v>41</v>
      </c>
      <c r="C140" s="145" t="s">
        <v>121</v>
      </c>
      <c r="D140" s="145" t="s">
        <v>122</v>
      </c>
      <c r="E140" s="39" t="s">
        <v>35</v>
      </c>
      <c r="F140" s="22">
        <v>5469.23</v>
      </c>
      <c r="G140" s="22">
        <f>103521+292+15</f>
        <v>103828</v>
      </c>
      <c r="H140" s="22">
        <v>5256.0969999999998</v>
      </c>
      <c r="I140" s="22">
        <f>242+113161</f>
        <v>113403</v>
      </c>
      <c r="J140" s="22">
        <v>5108.0649999999996</v>
      </c>
      <c r="K140" s="22">
        <f>96601+290+13</f>
        <v>96904</v>
      </c>
      <c r="L140" s="21">
        <f>F140+H140+J140</f>
        <v>15833.392</v>
      </c>
      <c r="M140" s="21">
        <f>G140+I140+K140</f>
        <v>314135</v>
      </c>
      <c r="N140" s="22">
        <v>4849.0619999999999</v>
      </c>
      <c r="O140" s="22">
        <f>95359+216+17</f>
        <v>95592</v>
      </c>
      <c r="P140" s="22">
        <v>5146.9229999999998</v>
      </c>
      <c r="Q140" s="22">
        <f>98138+280</f>
        <v>98418</v>
      </c>
      <c r="R140" s="22">
        <v>5237.2089999999998</v>
      </c>
      <c r="S140" s="22">
        <f>102095+262+14</f>
        <v>102371</v>
      </c>
      <c r="T140" s="21">
        <f>N140+P140+R140</f>
        <v>15233.194</v>
      </c>
      <c r="U140" s="22">
        <f>O140+Q140+S140</f>
        <v>296381</v>
      </c>
      <c r="V140" s="22">
        <v>5858.2690000000002</v>
      </c>
      <c r="W140" s="22">
        <f>13+252+118152</f>
        <v>118417</v>
      </c>
      <c r="X140" s="22"/>
      <c r="Y140" s="22"/>
      <c r="Z140" s="22"/>
      <c r="AA140" s="22"/>
      <c r="AB140" s="21">
        <f>V140+X140+Z140</f>
        <v>5858.2690000000002</v>
      </c>
      <c r="AC140" s="21">
        <f>W140+Y140+AA140</f>
        <v>118417</v>
      </c>
      <c r="AD140" s="22"/>
      <c r="AE140" s="22"/>
      <c r="AF140" s="22"/>
      <c r="AG140" s="22"/>
      <c r="AH140" s="22"/>
      <c r="AI140" s="22"/>
      <c r="AJ140" s="21">
        <f>AD140+AF140+AH140</f>
        <v>0</v>
      </c>
      <c r="AK140" s="21">
        <f>AE140+AG140+AI140</f>
        <v>0</v>
      </c>
      <c r="AL140" s="21">
        <f>L140+T140+AB140+AJ140</f>
        <v>36924.854999999996</v>
      </c>
      <c r="AM140" s="21">
        <f>M140+U140+AC140+AK140</f>
        <v>728933</v>
      </c>
      <c r="AN140" s="149"/>
      <c r="AO140" s="132"/>
      <c r="AP140" s="130"/>
      <c r="AQ140" s="132"/>
      <c r="AV140" s="4"/>
    </row>
    <row r="141" spans="1:48" s="57" customFormat="1" ht="33" customHeight="1">
      <c r="A141" s="145"/>
      <c r="B141" s="145"/>
      <c r="C141" s="145"/>
      <c r="D141" s="145"/>
      <c r="E141" s="39" t="s">
        <v>36</v>
      </c>
      <c r="F141" s="22">
        <v>0</v>
      </c>
      <c r="G141" s="22">
        <v>0</v>
      </c>
      <c r="H141" s="22">
        <v>0</v>
      </c>
      <c r="I141" s="22">
        <v>0</v>
      </c>
      <c r="J141" s="22">
        <v>0</v>
      </c>
      <c r="K141" s="22">
        <v>0</v>
      </c>
      <c r="L141" s="21">
        <f>F141+H141+J141</f>
        <v>0</v>
      </c>
      <c r="M141" s="21">
        <f>G141+I141+K141</f>
        <v>0</v>
      </c>
      <c r="N141" s="22">
        <v>0</v>
      </c>
      <c r="O141" s="22">
        <v>0</v>
      </c>
      <c r="P141" s="22">
        <v>0</v>
      </c>
      <c r="Q141" s="22">
        <v>0</v>
      </c>
      <c r="R141" s="22">
        <v>0</v>
      </c>
      <c r="S141" s="22">
        <v>0</v>
      </c>
      <c r="T141" s="21">
        <f>N141+P141+R141</f>
        <v>0</v>
      </c>
      <c r="U141" s="22">
        <f>O141+Q141+S141</f>
        <v>0</v>
      </c>
      <c r="V141" s="22">
        <v>0</v>
      </c>
      <c r="W141" s="22">
        <v>0</v>
      </c>
      <c r="X141" s="22"/>
      <c r="Y141" s="22"/>
      <c r="Z141" s="22"/>
      <c r="AA141" s="22"/>
      <c r="AB141" s="21">
        <f>V141+X141+Z141</f>
        <v>0</v>
      </c>
      <c r="AC141" s="21">
        <f>W141+Y141+AA141</f>
        <v>0</v>
      </c>
      <c r="AD141" s="22"/>
      <c r="AE141" s="22"/>
      <c r="AF141" s="22"/>
      <c r="AG141" s="22"/>
      <c r="AH141" s="22"/>
      <c r="AI141" s="22"/>
      <c r="AJ141" s="21">
        <f>AD141+AF141+AH141</f>
        <v>0</v>
      </c>
      <c r="AK141" s="21">
        <f>AE141+AG141+AI141</f>
        <v>0</v>
      </c>
      <c r="AL141" s="21">
        <f>L141+T141+AB141+AJ141</f>
        <v>0</v>
      </c>
      <c r="AM141" s="21">
        <f>M141+U141+AC141+AK141</f>
        <v>0</v>
      </c>
      <c r="AN141" s="150"/>
      <c r="AO141" s="133"/>
      <c r="AP141" s="131"/>
      <c r="AQ141" s="133"/>
      <c r="AV141" s="4"/>
    </row>
    <row r="142" spans="1:48" s="63" customFormat="1" ht="16.5" customHeight="1">
      <c r="A142" s="146"/>
      <c r="B142" s="146"/>
      <c r="C142" s="25" t="s">
        <v>37</v>
      </c>
      <c r="D142" s="25"/>
      <c r="E142" s="50"/>
      <c r="F142" s="71">
        <f t="shared" ref="F142:AM142" si="67">SUM(F140:F141)</f>
        <v>5469.23</v>
      </c>
      <c r="G142" s="71">
        <f t="shared" si="67"/>
        <v>103828</v>
      </c>
      <c r="H142" s="71">
        <f t="shared" si="67"/>
        <v>5256.0969999999998</v>
      </c>
      <c r="I142" s="71">
        <f t="shared" si="67"/>
        <v>113403</v>
      </c>
      <c r="J142" s="71">
        <f t="shared" si="67"/>
        <v>5108.0649999999996</v>
      </c>
      <c r="K142" s="71">
        <f t="shared" si="67"/>
        <v>96904</v>
      </c>
      <c r="L142" s="71">
        <f t="shared" si="67"/>
        <v>15833.392</v>
      </c>
      <c r="M142" s="71">
        <f t="shared" si="67"/>
        <v>314135</v>
      </c>
      <c r="N142" s="71">
        <f t="shared" si="67"/>
        <v>4849.0619999999999</v>
      </c>
      <c r="O142" s="71">
        <f t="shared" si="67"/>
        <v>95592</v>
      </c>
      <c r="P142" s="71">
        <f t="shared" si="67"/>
        <v>5146.9229999999998</v>
      </c>
      <c r="Q142" s="71">
        <f t="shared" si="67"/>
        <v>98418</v>
      </c>
      <c r="R142" s="71">
        <f t="shared" si="67"/>
        <v>5237.2089999999998</v>
      </c>
      <c r="S142" s="71">
        <f t="shared" si="67"/>
        <v>102371</v>
      </c>
      <c r="T142" s="71">
        <f t="shared" si="67"/>
        <v>15233.194</v>
      </c>
      <c r="U142" s="71">
        <f t="shared" si="67"/>
        <v>296381</v>
      </c>
      <c r="V142" s="71">
        <f t="shared" si="67"/>
        <v>5858.2690000000002</v>
      </c>
      <c r="W142" s="71">
        <f t="shared" si="67"/>
        <v>118417</v>
      </c>
      <c r="X142" s="71">
        <f t="shared" si="67"/>
        <v>0</v>
      </c>
      <c r="Y142" s="71">
        <f t="shared" si="67"/>
        <v>0</v>
      </c>
      <c r="Z142" s="71">
        <f t="shared" si="67"/>
        <v>0</v>
      </c>
      <c r="AA142" s="71">
        <f t="shared" si="67"/>
        <v>0</v>
      </c>
      <c r="AB142" s="71">
        <f t="shared" si="67"/>
        <v>5858.2690000000002</v>
      </c>
      <c r="AC142" s="71">
        <f t="shared" si="67"/>
        <v>118417</v>
      </c>
      <c r="AD142" s="71">
        <f t="shared" si="67"/>
        <v>0</v>
      </c>
      <c r="AE142" s="71">
        <f t="shared" si="67"/>
        <v>0</v>
      </c>
      <c r="AF142" s="71">
        <f t="shared" si="67"/>
        <v>0</v>
      </c>
      <c r="AG142" s="71">
        <f t="shared" si="67"/>
        <v>0</v>
      </c>
      <c r="AH142" s="71">
        <f t="shared" si="67"/>
        <v>0</v>
      </c>
      <c r="AI142" s="71">
        <f t="shared" si="67"/>
        <v>0</v>
      </c>
      <c r="AJ142" s="71">
        <f t="shared" si="67"/>
        <v>0</v>
      </c>
      <c r="AK142" s="71">
        <f t="shared" si="67"/>
        <v>0</v>
      </c>
      <c r="AL142" s="71">
        <f t="shared" si="67"/>
        <v>36924.854999999996</v>
      </c>
      <c r="AM142" s="71">
        <f t="shared" si="67"/>
        <v>728933</v>
      </c>
      <c r="AN142" s="27">
        <v>154400</v>
      </c>
      <c r="AO142" s="27">
        <f>AN142/12*$AO$8</f>
        <v>51466.666666666664</v>
      </c>
      <c r="AP142" s="28">
        <f>AL142/AO142</f>
        <v>0.71745184585492228</v>
      </c>
      <c r="AQ142" s="26"/>
      <c r="AV142" s="30"/>
    </row>
    <row r="143" spans="1:48" s="57" customFormat="1" ht="39" customHeight="1">
      <c r="A143" s="134">
        <f>+A140+1</f>
        <v>38</v>
      </c>
      <c r="B143" s="134">
        <f>+B140+1</f>
        <v>42</v>
      </c>
      <c r="C143" s="134" t="s">
        <v>123</v>
      </c>
      <c r="D143" s="134" t="s">
        <v>124</v>
      </c>
      <c r="E143" s="55" t="s">
        <v>35</v>
      </c>
      <c r="F143" s="56">
        <v>2679.0479999999998</v>
      </c>
      <c r="G143" s="56">
        <v>46478</v>
      </c>
      <c r="H143" s="56">
        <v>3040.7150000000001</v>
      </c>
      <c r="I143" s="56">
        <v>61344</v>
      </c>
      <c r="J143" s="56">
        <v>2886.6640000000002</v>
      </c>
      <c r="K143" s="56">
        <v>50297</v>
      </c>
      <c r="L143" s="83">
        <f>F143+H143+J143</f>
        <v>8606.4269999999997</v>
      </c>
      <c r="M143" s="83">
        <f>G143+I143+K143</f>
        <v>158119</v>
      </c>
      <c r="N143" s="56">
        <v>3008.3229999999999</v>
      </c>
      <c r="O143" s="56">
        <v>52578</v>
      </c>
      <c r="P143" s="56">
        <v>2927.5340000000001</v>
      </c>
      <c r="Q143" s="56">
        <v>52739</v>
      </c>
      <c r="R143" s="56">
        <v>2996.5790000000002</v>
      </c>
      <c r="S143" s="56">
        <v>55297</v>
      </c>
      <c r="T143" s="83">
        <f>N143+P143+R143</f>
        <v>8932.4359999999997</v>
      </c>
      <c r="U143" s="56">
        <f>O143+Q143+S143</f>
        <v>160614</v>
      </c>
      <c r="V143" s="56">
        <v>2912.0610000000001</v>
      </c>
      <c r="W143" s="56">
        <v>54391</v>
      </c>
      <c r="X143" s="56">
        <v>2946.1869999999999</v>
      </c>
      <c r="Y143" s="56">
        <v>55101</v>
      </c>
      <c r="Z143" s="56"/>
      <c r="AA143" s="56"/>
      <c r="AB143" s="83">
        <f>V143+X143+Z143</f>
        <v>5858.2479999999996</v>
      </c>
      <c r="AC143" s="83">
        <f>W143+Y143+AA143</f>
        <v>109492</v>
      </c>
      <c r="AD143" s="56"/>
      <c r="AE143" s="56"/>
      <c r="AF143" s="56"/>
      <c r="AG143" s="56"/>
      <c r="AH143" s="56"/>
      <c r="AI143" s="56"/>
      <c r="AJ143" s="83">
        <f>AD143+AF143+AH143</f>
        <v>0</v>
      </c>
      <c r="AK143" s="83">
        <f>AE143+AG143+AI143</f>
        <v>0</v>
      </c>
      <c r="AL143" s="83">
        <f>L143+T143+AB143+AJ143</f>
        <v>23397.110999999997</v>
      </c>
      <c r="AM143" s="83">
        <f>M143+U143+AC143+AK143</f>
        <v>428225</v>
      </c>
      <c r="AN143" s="136"/>
      <c r="AO143" s="136"/>
      <c r="AP143" s="142"/>
      <c r="AQ143" s="139"/>
      <c r="AV143" s="4"/>
    </row>
    <row r="144" spans="1:48" s="57" customFormat="1" ht="39" customHeight="1">
      <c r="A144" s="134"/>
      <c r="B144" s="134"/>
      <c r="C144" s="134"/>
      <c r="D144" s="134"/>
      <c r="E144" s="55" t="s">
        <v>36</v>
      </c>
      <c r="F144" s="56">
        <v>8038.8</v>
      </c>
      <c r="G144" s="56">
        <v>131289</v>
      </c>
      <c r="H144" s="56">
        <v>10863.581</v>
      </c>
      <c r="I144" s="56">
        <v>205324</v>
      </c>
      <c r="J144" s="56">
        <v>9614.6139999999996</v>
      </c>
      <c r="K144" s="56">
        <v>153253</v>
      </c>
      <c r="L144" s="83">
        <f>F144+H144+J144</f>
        <v>28516.995000000003</v>
      </c>
      <c r="M144" s="83">
        <f>G144+I144+K144</f>
        <v>489866</v>
      </c>
      <c r="N144" s="56">
        <v>10076.906999999999</v>
      </c>
      <c r="O144" s="56">
        <v>161232</v>
      </c>
      <c r="P144" s="56">
        <v>10504.066999999999</v>
      </c>
      <c r="Q144" s="56">
        <v>173157</v>
      </c>
      <c r="R144" s="56">
        <v>10991.248</v>
      </c>
      <c r="S144" s="56">
        <v>180817</v>
      </c>
      <c r="T144" s="83">
        <f>N144+P144+R144</f>
        <v>31572.221999999998</v>
      </c>
      <c r="U144" s="56">
        <f>O144+Q144+S144</f>
        <v>515206</v>
      </c>
      <c r="V144" s="56">
        <v>11039.3</v>
      </c>
      <c r="W144" s="56">
        <v>183488</v>
      </c>
      <c r="X144" s="56">
        <v>11474.597</v>
      </c>
      <c r="Y144" s="56">
        <v>187548</v>
      </c>
      <c r="Z144" s="56"/>
      <c r="AA144" s="56"/>
      <c r="AB144" s="83">
        <f>V144+X144+Z144</f>
        <v>22513.896999999997</v>
      </c>
      <c r="AC144" s="83">
        <f>W144+Y144+AA144</f>
        <v>371036</v>
      </c>
      <c r="AD144" s="56"/>
      <c r="AE144" s="56"/>
      <c r="AF144" s="56"/>
      <c r="AG144" s="56"/>
      <c r="AH144" s="56"/>
      <c r="AI144" s="56"/>
      <c r="AJ144" s="83">
        <f>AD144+AF144+AH144</f>
        <v>0</v>
      </c>
      <c r="AK144" s="83">
        <f>AE144+AG144+AI144</f>
        <v>0</v>
      </c>
      <c r="AL144" s="83">
        <f>L144+T144+AB144+AJ144</f>
        <v>82603.114000000001</v>
      </c>
      <c r="AM144" s="83">
        <f>M144+U144+AC144+AK144</f>
        <v>1376108</v>
      </c>
      <c r="AN144" s="138"/>
      <c r="AO144" s="138"/>
      <c r="AP144" s="144"/>
      <c r="AQ144" s="141"/>
      <c r="AV144" s="4"/>
    </row>
    <row r="145" spans="1:48" s="63" customFormat="1" ht="15" customHeight="1">
      <c r="A145" s="135"/>
      <c r="B145" s="135"/>
      <c r="C145" s="59" t="s">
        <v>37</v>
      </c>
      <c r="D145" s="59"/>
      <c r="E145" s="60"/>
      <c r="F145" s="60">
        <f t="shared" ref="F145:AM145" si="68">SUM(F143:F144)</f>
        <v>10717.848</v>
      </c>
      <c r="G145" s="60">
        <f t="shared" si="68"/>
        <v>177767</v>
      </c>
      <c r="H145" s="60">
        <f t="shared" si="68"/>
        <v>13904.296</v>
      </c>
      <c r="I145" s="60">
        <f t="shared" si="68"/>
        <v>266668</v>
      </c>
      <c r="J145" s="60">
        <f t="shared" si="68"/>
        <v>12501.278</v>
      </c>
      <c r="K145" s="60">
        <f t="shared" si="68"/>
        <v>203550</v>
      </c>
      <c r="L145" s="60">
        <f t="shared" si="68"/>
        <v>37123.422000000006</v>
      </c>
      <c r="M145" s="60">
        <f t="shared" si="68"/>
        <v>647985</v>
      </c>
      <c r="N145" s="60">
        <f t="shared" si="68"/>
        <v>13085.23</v>
      </c>
      <c r="O145" s="60">
        <f t="shared" si="68"/>
        <v>213810</v>
      </c>
      <c r="P145" s="60">
        <f t="shared" si="68"/>
        <v>13431.600999999999</v>
      </c>
      <c r="Q145" s="60">
        <f t="shared" si="68"/>
        <v>225896</v>
      </c>
      <c r="R145" s="60">
        <f t="shared" si="68"/>
        <v>13987.826999999999</v>
      </c>
      <c r="S145" s="60">
        <f t="shared" si="68"/>
        <v>236114</v>
      </c>
      <c r="T145" s="60">
        <f t="shared" si="68"/>
        <v>40504.657999999996</v>
      </c>
      <c r="U145" s="60">
        <f t="shared" si="68"/>
        <v>675820</v>
      </c>
      <c r="V145" s="62">
        <f t="shared" si="68"/>
        <v>13951.360999999999</v>
      </c>
      <c r="W145" s="62">
        <f t="shared" si="68"/>
        <v>237879</v>
      </c>
      <c r="X145" s="60">
        <f t="shared" si="68"/>
        <v>14420.784</v>
      </c>
      <c r="Y145" s="60">
        <f t="shared" si="68"/>
        <v>242649</v>
      </c>
      <c r="Z145" s="60">
        <f t="shared" si="68"/>
        <v>0</v>
      </c>
      <c r="AA145" s="60">
        <f t="shared" si="68"/>
        <v>0</v>
      </c>
      <c r="AB145" s="60">
        <f t="shared" si="68"/>
        <v>28372.144999999997</v>
      </c>
      <c r="AC145" s="60">
        <f t="shared" si="68"/>
        <v>480528</v>
      </c>
      <c r="AD145" s="60">
        <f t="shared" si="68"/>
        <v>0</v>
      </c>
      <c r="AE145" s="60">
        <f t="shared" si="68"/>
        <v>0</v>
      </c>
      <c r="AF145" s="60">
        <f t="shared" si="68"/>
        <v>0</v>
      </c>
      <c r="AG145" s="60">
        <f t="shared" si="68"/>
        <v>0</v>
      </c>
      <c r="AH145" s="60">
        <f t="shared" si="68"/>
        <v>0</v>
      </c>
      <c r="AI145" s="60">
        <f t="shared" si="68"/>
        <v>0</v>
      </c>
      <c r="AJ145" s="60">
        <f t="shared" si="68"/>
        <v>0</v>
      </c>
      <c r="AK145" s="60">
        <f t="shared" si="68"/>
        <v>0</v>
      </c>
      <c r="AL145" s="60">
        <f t="shared" si="68"/>
        <v>106000.22500000001</v>
      </c>
      <c r="AM145" s="60">
        <f t="shared" si="68"/>
        <v>1804333</v>
      </c>
      <c r="AN145" s="27">
        <v>186300</v>
      </c>
      <c r="AO145" s="27">
        <f>AN145/12*$AO$8</f>
        <v>62100</v>
      </c>
      <c r="AP145" s="28">
        <f>AL145/AO145</f>
        <v>1.7069279388083738</v>
      </c>
      <c r="AQ145" s="62"/>
      <c r="AV145" s="30"/>
    </row>
    <row r="146" spans="1:48" s="57" customFormat="1">
      <c r="A146" s="54"/>
      <c r="B146" s="54"/>
      <c r="C146" s="94" t="s">
        <v>125</v>
      </c>
      <c r="D146" s="54"/>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6"/>
      <c r="AQ146" s="95"/>
      <c r="AV146" s="4"/>
    </row>
    <row r="147" spans="1:48" s="57" customFormat="1" ht="24" customHeight="1">
      <c r="A147" s="145">
        <f>A143+1</f>
        <v>39</v>
      </c>
      <c r="B147" s="145">
        <f>B143+1</f>
        <v>43</v>
      </c>
      <c r="C147" s="145" t="s">
        <v>126</v>
      </c>
      <c r="D147" s="145" t="s">
        <v>127</v>
      </c>
      <c r="E147" s="39" t="s">
        <v>35</v>
      </c>
      <c r="F147" s="22">
        <v>1366.479</v>
      </c>
      <c r="G147" s="22">
        <v>26794</v>
      </c>
      <c r="H147" s="22">
        <v>1125.4649999999999</v>
      </c>
      <c r="I147" s="88">
        <v>25217</v>
      </c>
      <c r="J147" s="88">
        <v>1139.3150000000001</v>
      </c>
      <c r="K147" s="22">
        <v>24093</v>
      </c>
      <c r="L147" s="21">
        <f>F147+H147+J147</f>
        <v>3631.259</v>
      </c>
      <c r="M147" s="21" t="s">
        <v>178</v>
      </c>
      <c r="N147" s="22">
        <v>1207.5820000000001</v>
      </c>
      <c r="O147" s="22">
        <f>26159+2349</f>
        <v>28508</v>
      </c>
      <c r="P147" s="22">
        <v>1136.8689999999999</v>
      </c>
      <c r="Q147" s="22">
        <v>24179</v>
      </c>
      <c r="R147" s="22">
        <v>1160.896</v>
      </c>
      <c r="S147" s="22">
        <f>2243+26045</f>
        <v>28288</v>
      </c>
      <c r="T147" s="21">
        <f>N147+P147+R147</f>
        <v>3505.3469999999998</v>
      </c>
      <c r="U147" s="22">
        <f>O147+Q147+S147</f>
        <v>80975</v>
      </c>
      <c r="V147" s="22">
        <v>1196.4100000000001</v>
      </c>
      <c r="W147" s="22">
        <f>1852+26371</f>
        <v>28223</v>
      </c>
      <c r="X147" s="22"/>
      <c r="Y147" s="22"/>
      <c r="Z147" s="22"/>
      <c r="AA147" s="22"/>
      <c r="AB147" s="21">
        <f>V147+X147+Z147</f>
        <v>1196.4100000000001</v>
      </c>
      <c r="AC147" s="21">
        <f>W147+Y147+AA147</f>
        <v>28223</v>
      </c>
      <c r="AD147" s="22"/>
      <c r="AE147" s="22"/>
      <c r="AF147" s="22"/>
      <c r="AG147" s="22"/>
      <c r="AH147" s="22"/>
      <c r="AI147" s="22"/>
      <c r="AJ147" s="21">
        <f>AD147+AF147+AH147</f>
        <v>0</v>
      </c>
      <c r="AK147" s="21">
        <f>AE147+AG147+AI147</f>
        <v>0</v>
      </c>
      <c r="AL147" s="21">
        <f>L147+T147+AB147+AJ147</f>
        <v>8333.0159999999996</v>
      </c>
      <c r="AM147" s="21" t="e">
        <f>M147+U147+AC147+AK147</f>
        <v>#VALUE!</v>
      </c>
      <c r="AN147" s="149"/>
      <c r="AO147" s="149"/>
      <c r="AP147" s="130"/>
      <c r="AQ147" s="132"/>
      <c r="AV147" s="4"/>
    </row>
    <row r="148" spans="1:48" s="57" customFormat="1" ht="24" customHeight="1">
      <c r="A148" s="145"/>
      <c r="B148" s="145"/>
      <c r="C148" s="145"/>
      <c r="D148" s="145"/>
      <c r="E148" s="39" t="s">
        <v>36</v>
      </c>
      <c r="F148" s="22">
        <v>16135.022000000001</v>
      </c>
      <c r="G148" s="22">
        <v>240138</v>
      </c>
      <c r="H148" s="22">
        <v>13254.663</v>
      </c>
      <c r="I148" s="88">
        <v>255711</v>
      </c>
      <c r="J148" s="88">
        <v>15810.05</v>
      </c>
      <c r="K148" s="22">
        <v>252120</v>
      </c>
      <c r="L148" s="21">
        <f>F148+H148+J148</f>
        <v>45199.735000000001</v>
      </c>
      <c r="M148" s="21">
        <f>G148+I148+K148</f>
        <v>747969</v>
      </c>
      <c r="N148" s="22">
        <v>16015.341</v>
      </c>
      <c r="O148" s="22">
        <f>266132+88710</f>
        <v>354842</v>
      </c>
      <c r="P148" s="22">
        <v>15683.606</v>
      </c>
      <c r="Q148" s="22">
        <v>244323</v>
      </c>
      <c r="R148" s="22">
        <v>16104.849</v>
      </c>
      <c r="S148" s="22">
        <f>90285+272238</f>
        <v>362523</v>
      </c>
      <c r="T148" s="21">
        <f>N148+P148+R148</f>
        <v>47803.796000000002</v>
      </c>
      <c r="U148" s="22">
        <f>O148+Q148+S148</f>
        <v>961688</v>
      </c>
      <c r="V148" s="22">
        <v>15869.204</v>
      </c>
      <c r="W148" s="22">
        <f>87797+265329</f>
        <v>353126</v>
      </c>
      <c r="X148" s="22"/>
      <c r="Y148" s="22"/>
      <c r="Z148" s="22"/>
      <c r="AA148" s="22"/>
      <c r="AB148" s="21">
        <f>V148+X148+Z148</f>
        <v>15869.204</v>
      </c>
      <c r="AC148" s="21">
        <f>W148+Y148+AA148</f>
        <v>353126</v>
      </c>
      <c r="AD148" s="22"/>
      <c r="AE148" s="22"/>
      <c r="AF148" s="22"/>
      <c r="AG148" s="22"/>
      <c r="AH148" s="22"/>
      <c r="AI148" s="22"/>
      <c r="AJ148" s="21">
        <f>AD148+AF148+AH148</f>
        <v>0</v>
      </c>
      <c r="AK148" s="21">
        <f>AE148+AG148+AI148</f>
        <v>0</v>
      </c>
      <c r="AL148" s="21">
        <f>L148+T148+AB148+AJ148</f>
        <v>108872.735</v>
      </c>
      <c r="AM148" s="21">
        <f>M148+U148+AC148+AK148</f>
        <v>2062783</v>
      </c>
      <c r="AN148" s="150"/>
      <c r="AO148" s="150"/>
      <c r="AP148" s="131"/>
      <c r="AQ148" s="133"/>
      <c r="AV148" s="4"/>
    </row>
    <row r="149" spans="1:48" s="63" customFormat="1" ht="15.75" customHeight="1">
      <c r="A149" s="146"/>
      <c r="B149" s="146"/>
      <c r="C149" s="25" t="s">
        <v>37</v>
      </c>
      <c r="D149" s="25"/>
      <c r="E149" s="71"/>
      <c r="F149" s="71">
        <f t="shared" ref="F149:AM149" si="69">SUM(F147:F148)</f>
        <v>17501.501</v>
      </c>
      <c r="G149" s="71">
        <f t="shared" si="69"/>
        <v>266932</v>
      </c>
      <c r="H149" s="71">
        <f t="shared" si="69"/>
        <v>14380.128000000001</v>
      </c>
      <c r="I149" s="71">
        <f t="shared" si="69"/>
        <v>280928</v>
      </c>
      <c r="J149" s="71">
        <f t="shared" si="69"/>
        <v>16949.364999999998</v>
      </c>
      <c r="K149" s="71">
        <f t="shared" si="69"/>
        <v>276213</v>
      </c>
      <c r="L149" s="71">
        <f t="shared" si="69"/>
        <v>48830.993999999999</v>
      </c>
      <c r="M149" s="71">
        <f t="shared" si="69"/>
        <v>747969</v>
      </c>
      <c r="N149" s="71">
        <f t="shared" si="69"/>
        <v>17222.922999999999</v>
      </c>
      <c r="O149" s="71">
        <f t="shared" si="69"/>
        <v>383350</v>
      </c>
      <c r="P149" s="71">
        <f t="shared" si="69"/>
        <v>16820.474999999999</v>
      </c>
      <c r="Q149" s="71">
        <f t="shared" si="69"/>
        <v>268502</v>
      </c>
      <c r="R149" s="71">
        <f t="shared" si="69"/>
        <v>17265.744999999999</v>
      </c>
      <c r="S149" s="71">
        <f t="shared" si="69"/>
        <v>390811</v>
      </c>
      <c r="T149" s="71">
        <f t="shared" si="69"/>
        <v>51309.143000000004</v>
      </c>
      <c r="U149" s="71">
        <f t="shared" si="69"/>
        <v>1042663</v>
      </c>
      <c r="V149" s="71">
        <f t="shared" si="69"/>
        <v>17065.614000000001</v>
      </c>
      <c r="W149" s="71">
        <f t="shared" si="69"/>
        <v>381349</v>
      </c>
      <c r="X149" s="71">
        <f t="shared" si="69"/>
        <v>0</v>
      </c>
      <c r="Y149" s="71">
        <f t="shared" si="69"/>
        <v>0</v>
      </c>
      <c r="Z149" s="71">
        <f t="shared" si="69"/>
        <v>0</v>
      </c>
      <c r="AA149" s="71">
        <f t="shared" si="69"/>
        <v>0</v>
      </c>
      <c r="AB149" s="71">
        <f t="shared" si="69"/>
        <v>17065.614000000001</v>
      </c>
      <c r="AC149" s="71">
        <f t="shared" si="69"/>
        <v>381349</v>
      </c>
      <c r="AD149" s="71">
        <f t="shared" si="69"/>
        <v>0</v>
      </c>
      <c r="AE149" s="71">
        <f t="shared" si="69"/>
        <v>0</v>
      </c>
      <c r="AF149" s="71">
        <f t="shared" si="69"/>
        <v>0</v>
      </c>
      <c r="AG149" s="71">
        <f t="shared" si="69"/>
        <v>0</v>
      </c>
      <c r="AH149" s="71">
        <f t="shared" si="69"/>
        <v>0</v>
      </c>
      <c r="AI149" s="71">
        <f t="shared" si="69"/>
        <v>0</v>
      </c>
      <c r="AJ149" s="71">
        <f t="shared" si="69"/>
        <v>0</v>
      </c>
      <c r="AK149" s="71">
        <f t="shared" si="69"/>
        <v>0</v>
      </c>
      <c r="AL149" s="71">
        <f t="shared" si="69"/>
        <v>117205.751</v>
      </c>
      <c r="AM149" s="71" t="e">
        <f t="shared" si="69"/>
        <v>#VALUE!</v>
      </c>
      <c r="AN149" s="27">
        <v>436890</v>
      </c>
      <c r="AO149" s="27">
        <f>AN149/12*$AO$8</f>
        <v>145630</v>
      </c>
      <c r="AP149" s="28">
        <f>AL149/AO149</f>
        <v>0.80481872553732059</v>
      </c>
      <c r="AQ149" s="26"/>
      <c r="AV149" s="30"/>
    </row>
    <row r="150" spans="1:48" s="57" customFormat="1" ht="23.25" customHeight="1">
      <c r="A150" s="166">
        <f>A147+1</f>
        <v>40</v>
      </c>
      <c r="B150" s="145">
        <f>B147+1</f>
        <v>44</v>
      </c>
      <c r="C150" s="134" t="s">
        <v>128</v>
      </c>
      <c r="D150" s="134" t="s">
        <v>129</v>
      </c>
      <c r="E150" s="55" t="s">
        <v>35</v>
      </c>
      <c r="F150" s="83">
        <v>1632.498</v>
      </c>
      <c r="G150" s="83">
        <f>23687+3564</f>
        <v>27251</v>
      </c>
      <c r="H150" s="83">
        <v>1351.229</v>
      </c>
      <c r="I150" s="83">
        <f>23491+3264</f>
        <v>26755</v>
      </c>
      <c r="J150" s="83">
        <v>1466.0640000000001</v>
      </c>
      <c r="K150" s="32">
        <f>21781+2793</f>
        <v>24574</v>
      </c>
      <c r="L150" s="83">
        <f>F150+H150+J150</f>
        <v>4449.7910000000002</v>
      </c>
      <c r="M150" s="83">
        <f>G150+I150+K150</f>
        <v>78580</v>
      </c>
      <c r="N150" s="83">
        <v>1445.8340000000001</v>
      </c>
      <c r="O150" s="83">
        <f>21248+2935</f>
        <v>24183</v>
      </c>
      <c r="P150" s="83">
        <v>1474.039</v>
      </c>
      <c r="Q150" s="83">
        <f>21098+3717</f>
        <v>24815</v>
      </c>
      <c r="R150" s="83">
        <v>1193.133</v>
      </c>
      <c r="S150" s="83">
        <f>17860+3123</f>
        <v>20983</v>
      </c>
      <c r="T150" s="83">
        <f>N150+P150+R150</f>
        <v>4113.0060000000003</v>
      </c>
      <c r="U150" s="56">
        <f>O150+Q150+S150</f>
        <v>69981</v>
      </c>
      <c r="V150" s="83">
        <v>1083.758</v>
      </c>
      <c r="W150" s="83">
        <v>2433</v>
      </c>
      <c r="X150" s="83"/>
      <c r="Y150" s="83"/>
      <c r="Z150" s="83"/>
      <c r="AA150" s="83"/>
      <c r="AB150" s="83">
        <f>V150+X150+Z150</f>
        <v>1083.758</v>
      </c>
      <c r="AC150" s="83">
        <f>W150+Y150+AA150</f>
        <v>2433</v>
      </c>
      <c r="AD150" s="83"/>
      <c r="AE150" s="83"/>
      <c r="AF150" s="83"/>
      <c r="AG150" s="83"/>
      <c r="AH150" s="83"/>
      <c r="AI150" s="83"/>
      <c r="AJ150" s="83">
        <f>AD150+AF150+AH150</f>
        <v>0</v>
      </c>
      <c r="AK150" s="83">
        <f>AE150+AG150+AI150</f>
        <v>0</v>
      </c>
      <c r="AL150" s="83">
        <f>L150+T150+AB150+AJ150</f>
        <v>9646.5550000000003</v>
      </c>
      <c r="AM150" s="83">
        <f>M150+U150+AC150+AK150</f>
        <v>150994</v>
      </c>
      <c r="AN150" s="173"/>
      <c r="AO150" s="173"/>
      <c r="AP150" s="168"/>
      <c r="AQ150" s="139"/>
      <c r="AV150" s="4"/>
    </row>
    <row r="151" spans="1:48" s="57" customFormat="1" ht="23.25" customHeight="1">
      <c r="A151" s="166"/>
      <c r="B151" s="145"/>
      <c r="C151" s="134"/>
      <c r="D151" s="134"/>
      <c r="E151" s="55" t="s">
        <v>36</v>
      </c>
      <c r="F151" s="83">
        <v>19289.228999999999</v>
      </c>
      <c r="G151" s="83">
        <f>284407+29767</f>
        <v>314174</v>
      </c>
      <c r="H151" s="83">
        <v>17378.39</v>
      </c>
      <c r="I151" s="83">
        <f>288992+28557</f>
        <v>317549</v>
      </c>
      <c r="J151" s="83">
        <v>20801.852999999999</v>
      </c>
      <c r="K151" s="32">
        <f>305654+31390</f>
        <v>337044</v>
      </c>
      <c r="L151" s="83">
        <f>F151+H151+J151</f>
        <v>57469.471999999994</v>
      </c>
      <c r="M151" s="83">
        <f>G151+I151+K151</f>
        <v>968767</v>
      </c>
      <c r="N151" s="83">
        <v>19712.838</v>
      </c>
      <c r="O151" s="83">
        <f>290444+29782</f>
        <v>320226</v>
      </c>
      <c r="P151" s="83">
        <v>20141.29</v>
      </c>
      <c r="Q151" s="83">
        <f>285708+31065</f>
        <v>316773</v>
      </c>
      <c r="R151" s="83">
        <v>18633.535</v>
      </c>
      <c r="S151" s="83">
        <f>275892+30200</f>
        <v>306092</v>
      </c>
      <c r="T151" s="83">
        <f>N151+P151+R151</f>
        <v>58487.663</v>
      </c>
      <c r="U151" s="56">
        <f>O151+Q151+S151</f>
        <v>943091</v>
      </c>
      <c r="V151" s="83">
        <v>18827.254000000001</v>
      </c>
      <c r="W151" s="83">
        <v>28793</v>
      </c>
      <c r="X151" s="83"/>
      <c r="Y151" s="83"/>
      <c r="Z151" s="83"/>
      <c r="AA151" s="83"/>
      <c r="AB151" s="83">
        <f>V151+X151+Z151</f>
        <v>18827.254000000001</v>
      </c>
      <c r="AC151" s="83">
        <f>W151+Y151+AA151</f>
        <v>28793</v>
      </c>
      <c r="AD151" s="83"/>
      <c r="AE151" s="83"/>
      <c r="AF151" s="83"/>
      <c r="AG151" s="83"/>
      <c r="AH151" s="83"/>
      <c r="AI151" s="83"/>
      <c r="AJ151" s="83">
        <f>AD151+AF151+AH151</f>
        <v>0</v>
      </c>
      <c r="AK151" s="83">
        <f>AE151+AG151+AI151</f>
        <v>0</v>
      </c>
      <c r="AL151" s="83">
        <f>L151+T151+AB151+AJ151</f>
        <v>134784.389</v>
      </c>
      <c r="AM151" s="83">
        <f>M151+U151+AC151+AK151</f>
        <v>1940651</v>
      </c>
      <c r="AN151" s="174"/>
      <c r="AO151" s="174"/>
      <c r="AP151" s="169"/>
      <c r="AQ151" s="141"/>
      <c r="AV151" s="4"/>
    </row>
    <row r="152" spans="1:48" s="63" customFormat="1" ht="15" customHeight="1">
      <c r="A152" s="167"/>
      <c r="B152" s="146"/>
      <c r="C152" s="59" t="s">
        <v>37</v>
      </c>
      <c r="D152" s="59"/>
      <c r="E152" s="62"/>
      <c r="F152" s="62">
        <f t="shared" ref="F152:AM152" si="70">SUM(F150:F151)</f>
        <v>20921.726999999999</v>
      </c>
      <c r="G152" s="62">
        <f t="shared" si="70"/>
        <v>341425</v>
      </c>
      <c r="H152" s="62">
        <f t="shared" si="70"/>
        <v>18729.618999999999</v>
      </c>
      <c r="I152" s="62">
        <f t="shared" si="70"/>
        <v>344304</v>
      </c>
      <c r="J152" s="62">
        <f t="shared" si="70"/>
        <v>22267.916999999998</v>
      </c>
      <c r="K152" s="62">
        <f t="shared" si="70"/>
        <v>361618</v>
      </c>
      <c r="L152" s="62">
        <f t="shared" si="70"/>
        <v>61919.262999999992</v>
      </c>
      <c r="M152" s="62">
        <f t="shared" si="70"/>
        <v>1047347</v>
      </c>
      <c r="N152" s="62">
        <f t="shared" si="70"/>
        <v>21158.671999999999</v>
      </c>
      <c r="O152" s="62">
        <f t="shared" si="70"/>
        <v>344409</v>
      </c>
      <c r="P152" s="62">
        <f t="shared" si="70"/>
        <v>21615.329000000002</v>
      </c>
      <c r="Q152" s="62">
        <f t="shared" si="70"/>
        <v>341588</v>
      </c>
      <c r="R152" s="62">
        <f t="shared" si="70"/>
        <v>19826.668000000001</v>
      </c>
      <c r="S152" s="62">
        <f t="shared" si="70"/>
        <v>327075</v>
      </c>
      <c r="T152" s="62">
        <f t="shared" si="70"/>
        <v>62600.669000000002</v>
      </c>
      <c r="U152" s="62">
        <f t="shared" si="70"/>
        <v>1013072</v>
      </c>
      <c r="V152" s="62">
        <f t="shared" si="70"/>
        <v>19911.012000000002</v>
      </c>
      <c r="W152" s="62">
        <f t="shared" si="70"/>
        <v>31226</v>
      </c>
      <c r="X152" s="62">
        <f t="shared" si="70"/>
        <v>0</v>
      </c>
      <c r="Y152" s="62">
        <f t="shared" si="70"/>
        <v>0</v>
      </c>
      <c r="Z152" s="62">
        <f t="shared" si="70"/>
        <v>0</v>
      </c>
      <c r="AA152" s="62">
        <f t="shared" si="70"/>
        <v>0</v>
      </c>
      <c r="AB152" s="62">
        <f t="shared" si="70"/>
        <v>19911.012000000002</v>
      </c>
      <c r="AC152" s="62">
        <f t="shared" si="70"/>
        <v>31226</v>
      </c>
      <c r="AD152" s="62">
        <f t="shared" si="70"/>
        <v>0</v>
      </c>
      <c r="AE152" s="62">
        <f t="shared" si="70"/>
        <v>0</v>
      </c>
      <c r="AF152" s="62">
        <f t="shared" si="70"/>
        <v>0</v>
      </c>
      <c r="AG152" s="62">
        <f t="shared" si="70"/>
        <v>0</v>
      </c>
      <c r="AH152" s="62">
        <f t="shared" si="70"/>
        <v>0</v>
      </c>
      <c r="AI152" s="62">
        <f t="shared" si="70"/>
        <v>0</v>
      </c>
      <c r="AJ152" s="62">
        <f t="shared" si="70"/>
        <v>0</v>
      </c>
      <c r="AK152" s="62">
        <f t="shared" si="70"/>
        <v>0</v>
      </c>
      <c r="AL152" s="62">
        <f t="shared" si="70"/>
        <v>144430.94399999999</v>
      </c>
      <c r="AM152" s="62">
        <f t="shared" si="70"/>
        <v>2091645</v>
      </c>
      <c r="AN152" s="27">
        <v>479580</v>
      </c>
      <c r="AO152" s="27">
        <f>AN152/12*$AO$8</f>
        <v>159860</v>
      </c>
      <c r="AP152" s="28">
        <f>AL152/AO152</f>
        <v>0.90348394845489799</v>
      </c>
      <c r="AQ152" s="62"/>
      <c r="AV152" s="30"/>
    </row>
    <row r="153" spans="1:48" s="57" customFormat="1">
      <c r="A153" s="54"/>
      <c r="B153" s="54"/>
      <c r="C153" s="94" t="s">
        <v>130</v>
      </c>
      <c r="D153" s="54"/>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6"/>
      <c r="AQ153" s="95"/>
      <c r="AV153" s="4"/>
    </row>
    <row r="154" spans="1:48" s="57" customFormat="1" ht="33" customHeight="1">
      <c r="A154" s="145">
        <f>A150+1</f>
        <v>41</v>
      </c>
      <c r="B154" s="145">
        <f>B150+1</f>
        <v>45</v>
      </c>
      <c r="C154" s="145" t="s">
        <v>131</v>
      </c>
      <c r="D154" s="145" t="s">
        <v>132</v>
      </c>
      <c r="E154" s="39" t="s">
        <v>35</v>
      </c>
      <c r="F154" s="22">
        <v>1815.364</v>
      </c>
      <c r="G154" s="22">
        <v>23122</v>
      </c>
      <c r="H154" s="22">
        <v>1844.1990000000001</v>
      </c>
      <c r="I154" s="22">
        <v>32749</v>
      </c>
      <c r="J154" s="22">
        <v>2279.9940000000001</v>
      </c>
      <c r="K154" s="22">
        <v>30301</v>
      </c>
      <c r="L154" s="21">
        <f t="shared" ref="L154:M157" si="71">F154+H154+J154</f>
        <v>5939.5570000000007</v>
      </c>
      <c r="M154" s="21">
        <f t="shared" si="71"/>
        <v>86172</v>
      </c>
      <c r="N154" s="22">
        <v>2225.047</v>
      </c>
      <c r="O154" s="22">
        <v>30844</v>
      </c>
      <c r="P154" s="22">
        <v>2138.7060000000001</v>
      </c>
      <c r="Q154" s="22">
        <v>29692</v>
      </c>
      <c r="R154" s="22">
        <v>2125.6170000000002</v>
      </c>
      <c r="S154" s="22">
        <v>32146</v>
      </c>
      <c r="T154" s="21">
        <f t="shared" ref="T154:U157" si="72">N154+P154+R154</f>
        <v>6489.3700000000008</v>
      </c>
      <c r="U154" s="22">
        <f t="shared" si="72"/>
        <v>92682</v>
      </c>
      <c r="V154" s="22">
        <v>2059.1579999999999</v>
      </c>
      <c r="W154" s="22">
        <v>32926</v>
      </c>
      <c r="X154" s="22"/>
      <c r="Y154" s="22"/>
      <c r="Z154" s="22"/>
      <c r="AA154" s="22"/>
      <c r="AB154" s="21">
        <f t="shared" ref="AB154:AC157" si="73">V154+X154+Z154</f>
        <v>2059.1579999999999</v>
      </c>
      <c r="AC154" s="21">
        <f t="shared" si="73"/>
        <v>32926</v>
      </c>
      <c r="AD154" s="22"/>
      <c r="AE154" s="22"/>
      <c r="AF154" s="22"/>
      <c r="AG154" s="22"/>
      <c r="AH154" s="22"/>
      <c r="AI154" s="22"/>
      <c r="AJ154" s="21">
        <f t="shared" ref="AJ154:AK157" si="74">AD154+AF154+AH154</f>
        <v>0</v>
      </c>
      <c r="AK154" s="21">
        <f t="shared" si="74"/>
        <v>0</v>
      </c>
      <c r="AL154" s="21">
        <f t="shared" ref="AL154:AM157" si="75">L154+T154+AB154+AJ154</f>
        <v>14488.085000000001</v>
      </c>
      <c r="AM154" s="21">
        <f t="shared" si="75"/>
        <v>211780</v>
      </c>
      <c r="AN154" s="149"/>
      <c r="AO154" s="132"/>
      <c r="AP154" s="130"/>
      <c r="AQ154" s="132"/>
      <c r="AV154" s="4"/>
    </row>
    <row r="155" spans="1:48" s="57" customFormat="1" ht="42.75" customHeight="1">
      <c r="A155" s="145"/>
      <c r="B155" s="145"/>
      <c r="C155" s="145"/>
      <c r="D155" s="145"/>
      <c r="E155" s="39" t="s">
        <v>36</v>
      </c>
      <c r="F155" s="22">
        <v>7439.6689999999999</v>
      </c>
      <c r="G155" s="22">
        <v>103024</v>
      </c>
      <c r="H155" s="22">
        <v>6192.8249999999998</v>
      </c>
      <c r="I155" s="22">
        <v>101988</v>
      </c>
      <c r="J155" s="22">
        <v>6317.741</v>
      </c>
      <c r="K155" s="22">
        <v>92178</v>
      </c>
      <c r="L155" s="21">
        <f t="shared" si="71"/>
        <v>19950.235000000001</v>
      </c>
      <c r="M155" s="21">
        <f t="shared" si="71"/>
        <v>297190</v>
      </c>
      <c r="N155" s="22">
        <v>5953.5450000000001</v>
      </c>
      <c r="O155" s="22">
        <v>90772</v>
      </c>
      <c r="P155" s="22">
        <v>5744.951</v>
      </c>
      <c r="Q155" s="22">
        <v>88701</v>
      </c>
      <c r="R155" s="22">
        <v>5845.0810000000001</v>
      </c>
      <c r="S155" s="22">
        <v>94498</v>
      </c>
      <c r="T155" s="21">
        <f t="shared" si="72"/>
        <v>17543.576999999997</v>
      </c>
      <c r="U155" s="22">
        <f t="shared" si="72"/>
        <v>273971</v>
      </c>
      <c r="V155" s="22">
        <v>5850.1940000000004</v>
      </c>
      <c r="W155" s="22">
        <v>97110</v>
      </c>
      <c r="X155" s="22"/>
      <c r="Y155" s="22"/>
      <c r="Z155" s="22"/>
      <c r="AA155" s="22"/>
      <c r="AB155" s="21">
        <f t="shared" si="73"/>
        <v>5850.1940000000004</v>
      </c>
      <c r="AC155" s="21">
        <f t="shared" si="73"/>
        <v>97110</v>
      </c>
      <c r="AD155" s="22"/>
      <c r="AE155" s="22"/>
      <c r="AF155" s="22"/>
      <c r="AG155" s="22"/>
      <c r="AH155" s="22"/>
      <c r="AI155" s="22"/>
      <c r="AJ155" s="21">
        <f t="shared" si="74"/>
        <v>0</v>
      </c>
      <c r="AK155" s="21">
        <f t="shared" si="74"/>
        <v>0</v>
      </c>
      <c r="AL155" s="21">
        <f t="shared" si="75"/>
        <v>43344.006000000001</v>
      </c>
      <c r="AM155" s="21">
        <f t="shared" si="75"/>
        <v>668271</v>
      </c>
      <c r="AN155" s="170"/>
      <c r="AO155" s="171"/>
      <c r="AP155" s="172"/>
      <c r="AQ155" s="171"/>
      <c r="AV155" s="4"/>
    </row>
    <row r="156" spans="1:48" s="57" customFormat="1" ht="24.75" customHeight="1">
      <c r="A156" s="145"/>
      <c r="B156" s="145">
        <f>+B154+1</f>
        <v>46</v>
      </c>
      <c r="C156" s="145"/>
      <c r="D156" s="145" t="s">
        <v>133</v>
      </c>
      <c r="E156" s="39" t="s">
        <v>35</v>
      </c>
      <c r="F156" s="22">
        <v>1482.819</v>
      </c>
      <c r="G156" s="22">
        <v>20505</v>
      </c>
      <c r="H156" s="22">
        <v>1421.7190000000001</v>
      </c>
      <c r="I156" s="22">
        <v>25308</v>
      </c>
      <c r="J156" s="22">
        <v>1895.528</v>
      </c>
      <c r="K156" s="22">
        <v>75419</v>
      </c>
      <c r="L156" s="21">
        <f t="shared" si="71"/>
        <v>4800.0659999999998</v>
      </c>
      <c r="M156" s="21">
        <f t="shared" si="71"/>
        <v>121232</v>
      </c>
      <c r="N156" s="22">
        <v>1842.133</v>
      </c>
      <c r="O156" s="22">
        <v>25752</v>
      </c>
      <c r="P156" s="22">
        <v>1767.9970000000001</v>
      </c>
      <c r="Q156" s="22">
        <v>24661</v>
      </c>
      <c r="R156" s="22">
        <v>1687.864</v>
      </c>
      <c r="S156" s="22">
        <v>25982</v>
      </c>
      <c r="T156" s="21">
        <f t="shared" si="72"/>
        <v>5297.9940000000006</v>
      </c>
      <c r="U156" s="22">
        <f t="shared" si="72"/>
        <v>76395</v>
      </c>
      <c r="V156" s="22">
        <v>1649.127</v>
      </c>
      <c r="W156" s="22">
        <v>27683</v>
      </c>
      <c r="X156" s="22"/>
      <c r="Y156" s="22"/>
      <c r="Z156" s="22"/>
      <c r="AA156" s="22"/>
      <c r="AB156" s="21">
        <f t="shared" si="73"/>
        <v>1649.127</v>
      </c>
      <c r="AC156" s="21">
        <f t="shared" si="73"/>
        <v>27683</v>
      </c>
      <c r="AD156" s="22"/>
      <c r="AE156" s="22"/>
      <c r="AF156" s="22"/>
      <c r="AG156" s="22"/>
      <c r="AH156" s="22"/>
      <c r="AI156" s="22"/>
      <c r="AJ156" s="21">
        <f t="shared" si="74"/>
        <v>0</v>
      </c>
      <c r="AK156" s="21">
        <f t="shared" si="74"/>
        <v>0</v>
      </c>
      <c r="AL156" s="21">
        <f t="shared" si="75"/>
        <v>11747.187000000002</v>
      </c>
      <c r="AM156" s="21">
        <f t="shared" si="75"/>
        <v>225310</v>
      </c>
      <c r="AN156" s="170"/>
      <c r="AO156" s="171"/>
      <c r="AP156" s="172"/>
      <c r="AQ156" s="171"/>
      <c r="AV156" s="4"/>
    </row>
    <row r="157" spans="1:48" s="57" customFormat="1" ht="37.5" customHeight="1">
      <c r="A157" s="145"/>
      <c r="B157" s="145"/>
      <c r="C157" s="145"/>
      <c r="D157" s="145"/>
      <c r="E157" s="39" t="s">
        <v>36</v>
      </c>
      <c r="F157" s="22">
        <v>5670.0910000000003</v>
      </c>
      <c r="G157" s="22">
        <v>89816</v>
      </c>
      <c r="H157" s="22">
        <v>4513.6989999999996</v>
      </c>
      <c r="I157" s="22">
        <v>80262</v>
      </c>
      <c r="J157" s="22">
        <v>4624.8950000000004</v>
      </c>
      <c r="K157" s="22">
        <v>26347</v>
      </c>
      <c r="L157" s="21">
        <f t="shared" si="71"/>
        <v>14808.685000000001</v>
      </c>
      <c r="M157" s="21">
        <f t="shared" si="71"/>
        <v>196425</v>
      </c>
      <c r="N157" s="22">
        <v>4427.6369999999997</v>
      </c>
      <c r="O157" s="22">
        <v>72886</v>
      </c>
      <c r="P157" s="22">
        <v>4356.34</v>
      </c>
      <c r="Q157" s="22">
        <v>71890</v>
      </c>
      <c r="R157" s="22">
        <v>4155.0919999999996</v>
      </c>
      <c r="S157" s="22">
        <v>71604</v>
      </c>
      <c r="T157" s="21">
        <f t="shared" si="72"/>
        <v>12939.069</v>
      </c>
      <c r="U157" s="22">
        <f t="shared" si="72"/>
        <v>216380</v>
      </c>
      <c r="V157" s="22">
        <v>4037.1030000000001</v>
      </c>
      <c r="W157" s="22">
        <v>71397</v>
      </c>
      <c r="X157" s="22"/>
      <c r="Y157" s="22"/>
      <c r="Z157" s="22"/>
      <c r="AA157" s="22"/>
      <c r="AB157" s="21">
        <f t="shared" si="73"/>
        <v>4037.1030000000001</v>
      </c>
      <c r="AC157" s="21">
        <f t="shared" si="73"/>
        <v>71397</v>
      </c>
      <c r="AD157" s="22"/>
      <c r="AE157" s="22"/>
      <c r="AF157" s="22"/>
      <c r="AG157" s="22"/>
      <c r="AH157" s="22"/>
      <c r="AI157" s="22"/>
      <c r="AJ157" s="21">
        <f t="shared" si="74"/>
        <v>0</v>
      </c>
      <c r="AK157" s="21">
        <f t="shared" si="74"/>
        <v>0</v>
      </c>
      <c r="AL157" s="21">
        <f t="shared" si="75"/>
        <v>31784.857</v>
      </c>
      <c r="AM157" s="21">
        <f t="shared" si="75"/>
        <v>484202</v>
      </c>
      <c r="AN157" s="150"/>
      <c r="AO157" s="133"/>
      <c r="AP157" s="131"/>
      <c r="AQ157" s="133"/>
      <c r="AV157" s="4"/>
    </row>
    <row r="158" spans="1:48" s="63" customFormat="1" ht="15.75" customHeight="1">
      <c r="A158" s="146"/>
      <c r="B158" s="25"/>
      <c r="C158" s="25" t="s">
        <v>37</v>
      </c>
      <c r="D158" s="25"/>
      <c r="E158" s="51"/>
      <c r="F158" s="71">
        <f t="shared" ref="F158:AM158" si="76">SUM(F154:F157)</f>
        <v>16407.942999999999</v>
      </c>
      <c r="G158" s="71">
        <f t="shared" si="76"/>
        <v>236467</v>
      </c>
      <c r="H158" s="71">
        <f t="shared" si="76"/>
        <v>13972.441999999999</v>
      </c>
      <c r="I158" s="71">
        <f t="shared" si="76"/>
        <v>240307</v>
      </c>
      <c r="J158" s="71">
        <f t="shared" si="76"/>
        <v>15118.158000000001</v>
      </c>
      <c r="K158" s="71">
        <f t="shared" si="76"/>
        <v>224245</v>
      </c>
      <c r="L158" s="71">
        <f t="shared" si="76"/>
        <v>45498.543000000005</v>
      </c>
      <c r="M158" s="71">
        <f t="shared" si="76"/>
        <v>701019</v>
      </c>
      <c r="N158" s="71">
        <f t="shared" si="76"/>
        <v>14448.362000000001</v>
      </c>
      <c r="O158" s="71">
        <f t="shared" si="76"/>
        <v>220254</v>
      </c>
      <c r="P158" s="71">
        <f t="shared" si="76"/>
        <v>14007.994000000001</v>
      </c>
      <c r="Q158" s="71">
        <f t="shared" si="76"/>
        <v>214944</v>
      </c>
      <c r="R158" s="71">
        <f t="shared" si="76"/>
        <v>13813.653999999999</v>
      </c>
      <c r="S158" s="71">
        <f t="shared" si="76"/>
        <v>224230</v>
      </c>
      <c r="T158" s="71">
        <f t="shared" si="76"/>
        <v>42270.009999999995</v>
      </c>
      <c r="U158" s="71">
        <f t="shared" si="76"/>
        <v>659428</v>
      </c>
      <c r="V158" s="71">
        <f t="shared" si="76"/>
        <v>13595.582000000002</v>
      </c>
      <c r="W158" s="71">
        <f t="shared" si="76"/>
        <v>229116</v>
      </c>
      <c r="X158" s="71">
        <f t="shared" si="76"/>
        <v>0</v>
      </c>
      <c r="Y158" s="71">
        <f t="shared" si="76"/>
        <v>0</v>
      </c>
      <c r="Z158" s="71">
        <f t="shared" si="76"/>
        <v>0</v>
      </c>
      <c r="AA158" s="71">
        <f t="shared" si="76"/>
        <v>0</v>
      </c>
      <c r="AB158" s="71">
        <f t="shared" si="76"/>
        <v>13595.582000000002</v>
      </c>
      <c r="AC158" s="71">
        <f t="shared" si="76"/>
        <v>229116</v>
      </c>
      <c r="AD158" s="71">
        <f t="shared" si="76"/>
        <v>0</v>
      </c>
      <c r="AE158" s="71">
        <f t="shared" si="76"/>
        <v>0</v>
      </c>
      <c r="AF158" s="71">
        <f t="shared" si="76"/>
        <v>0</v>
      </c>
      <c r="AG158" s="71">
        <f t="shared" si="76"/>
        <v>0</v>
      </c>
      <c r="AH158" s="71">
        <f t="shared" si="76"/>
        <v>0</v>
      </c>
      <c r="AI158" s="71">
        <f t="shared" si="76"/>
        <v>0</v>
      </c>
      <c r="AJ158" s="71">
        <f t="shared" si="76"/>
        <v>0</v>
      </c>
      <c r="AK158" s="71">
        <f t="shared" si="76"/>
        <v>0</v>
      </c>
      <c r="AL158" s="71">
        <f t="shared" si="76"/>
        <v>101364.13500000001</v>
      </c>
      <c r="AM158" s="71">
        <f t="shared" si="76"/>
        <v>1589563</v>
      </c>
      <c r="AN158" s="27">
        <v>184470</v>
      </c>
      <c r="AO158" s="27">
        <f>AN158/12*$AO$8</f>
        <v>61490</v>
      </c>
      <c r="AP158" s="28">
        <f>AL158/AO158</f>
        <v>1.6484653602211743</v>
      </c>
      <c r="AQ158" s="26"/>
      <c r="AV158" s="30"/>
    </row>
    <row r="159" spans="1:48" s="57" customFormat="1">
      <c r="A159" s="94"/>
      <c r="B159" s="94"/>
      <c r="C159" s="94" t="s">
        <v>134</v>
      </c>
      <c r="D159" s="94"/>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6"/>
      <c r="AQ159" s="95"/>
      <c r="AV159" s="4"/>
    </row>
    <row r="160" spans="1:48" s="57" customFormat="1" ht="45.6" customHeight="1">
      <c r="A160" s="166">
        <f>A154+1</f>
        <v>42</v>
      </c>
      <c r="B160" s="134">
        <f>B156+1</f>
        <v>47</v>
      </c>
      <c r="C160" s="134" t="s">
        <v>135</v>
      </c>
      <c r="D160" s="134" t="s">
        <v>136</v>
      </c>
      <c r="E160" s="82" t="s">
        <v>35</v>
      </c>
      <c r="F160" s="83">
        <v>2216.5259999999998</v>
      </c>
      <c r="G160" s="83">
        <v>35628</v>
      </c>
      <c r="H160" s="83">
        <v>1948.364</v>
      </c>
      <c r="I160" s="83">
        <v>33882</v>
      </c>
      <c r="J160" s="83">
        <v>1949.81</v>
      </c>
      <c r="K160" s="83">
        <v>30717</v>
      </c>
      <c r="L160" s="83">
        <f>F160+H160+J160</f>
        <v>6114.6999999999989</v>
      </c>
      <c r="M160" s="83">
        <f>G160+I160+K160</f>
        <v>100227</v>
      </c>
      <c r="N160" s="83">
        <v>1848.7139999999999</v>
      </c>
      <c r="O160" s="32">
        <v>30107</v>
      </c>
      <c r="P160" s="83">
        <v>1876.0989999999999</v>
      </c>
      <c r="Q160" s="83">
        <v>30262</v>
      </c>
      <c r="R160" s="83">
        <v>1857.194</v>
      </c>
      <c r="S160" s="83">
        <v>30879</v>
      </c>
      <c r="T160" s="83">
        <f>N160+P160+R160</f>
        <v>5582.0069999999996</v>
      </c>
      <c r="U160" s="56">
        <f>O160+Q160+S160</f>
        <v>91248</v>
      </c>
      <c r="V160" s="83">
        <v>1805.6310000000001</v>
      </c>
      <c r="W160" s="83">
        <v>30895</v>
      </c>
      <c r="X160" s="83"/>
      <c r="Y160" s="83"/>
      <c r="Z160" s="83"/>
      <c r="AA160" s="83"/>
      <c r="AB160" s="83">
        <f>V160+X160+Z160</f>
        <v>1805.6310000000001</v>
      </c>
      <c r="AC160" s="83">
        <f>W160+Y160+AA160</f>
        <v>30895</v>
      </c>
      <c r="AD160" s="83"/>
      <c r="AE160" s="83"/>
      <c r="AF160" s="83"/>
      <c r="AG160" s="83"/>
      <c r="AH160" s="83"/>
      <c r="AI160" s="83"/>
      <c r="AJ160" s="83">
        <f>AD160+AF160+AH160</f>
        <v>0</v>
      </c>
      <c r="AK160" s="83">
        <f>AE160+AG160+AI160</f>
        <v>0</v>
      </c>
      <c r="AL160" s="83">
        <f>L160+T160+AB160+AJ160</f>
        <v>13502.337999999998</v>
      </c>
      <c r="AM160" s="83">
        <f>M160+U160+AC160+AK160</f>
        <v>222370</v>
      </c>
      <c r="AN160" s="136"/>
      <c r="AO160" s="84"/>
      <c r="AP160" s="142"/>
      <c r="AQ160" s="139"/>
      <c r="AV160" s="4"/>
    </row>
    <row r="161" spans="1:48" s="57" customFormat="1" ht="40.5" customHeight="1">
      <c r="A161" s="166"/>
      <c r="B161" s="134"/>
      <c r="C161" s="134"/>
      <c r="D161" s="134"/>
      <c r="E161" s="82" t="s">
        <v>36</v>
      </c>
      <c r="F161" s="83">
        <v>12173.647999999999</v>
      </c>
      <c r="G161" s="83">
        <v>202536</v>
      </c>
      <c r="H161" s="83">
        <v>12522.555</v>
      </c>
      <c r="I161" s="83">
        <v>230509</v>
      </c>
      <c r="J161" s="83">
        <v>11714.342000000001</v>
      </c>
      <c r="K161" s="83">
        <v>197231</v>
      </c>
      <c r="L161" s="83">
        <f>F161+H161+J161</f>
        <v>36410.544999999998</v>
      </c>
      <c r="M161" s="83">
        <f>G161+I161+K161</f>
        <v>630276</v>
      </c>
      <c r="N161" s="83">
        <v>11623.366</v>
      </c>
      <c r="O161" s="32">
        <v>198193</v>
      </c>
      <c r="P161" s="83">
        <v>11666.873</v>
      </c>
      <c r="Q161" s="83">
        <v>194068</v>
      </c>
      <c r="R161" s="83">
        <v>13186.527</v>
      </c>
      <c r="S161" s="83">
        <v>226742</v>
      </c>
      <c r="T161" s="83">
        <f>N161+P161+R161</f>
        <v>36476.766000000003</v>
      </c>
      <c r="U161" s="56">
        <f>O161+Q161+S161</f>
        <v>619003</v>
      </c>
      <c r="V161" s="83">
        <v>13171.576999999999</v>
      </c>
      <c r="W161" s="83">
        <v>231042</v>
      </c>
      <c r="X161" s="83"/>
      <c r="Y161" s="83"/>
      <c r="Z161" s="83"/>
      <c r="AA161" s="83"/>
      <c r="AB161" s="83">
        <f>V161+X161+Z161</f>
        <v>13171.576999999999</v>
      </c>
      <c r="AC161" s="83">
        <f>W161+Y161+AA161</f>
        <v>231042</v>
      </c>
      <c r="AD161" s="83"/>
      <c r="AE161" s="83"/>
      <c r="AF161" s="83"/>
      <c r="AG161" s="83"/>
      <c r="AH161" s="83"/>
      <c r="AI161" s="83"/>
      <c r="AJ161" s="83">
        <f>AD161+AF161+AH161</f>
        <v>0</v>
      </c>
      <c r="AK161" s="83">
        <f>AE161+AG161+AI161</f>
        <v>0</v>
      </c>
      <c r="AL161" s="83">
        <f>L161+T161+AB161+AJ161</f>
        <v>86058.888000000006</v>
      </c>
      <c r="AM161" s="83">
        <f>M161+U161+AC161+AK161</f>
        <v>1480321</v>
      </c>
      <c r="AN161" s="138"/>
      <c r="AO161" s="85"/>
      <c r="AP161" s="144"/>
      <c r="AQ161" s="141"/>
      <c r="AV161" s="4"/>
    </row>
    <row r="162" spans="1:48" s="63" customFormat="1" ht="16.5" customHeight="1">
      <c r="A162" s="167"/>
      <c r="B162" s="135"/>
      <c r="C162" s="59" t="s">
        <v>37</v>
      </c>
      <c r="D162" s="59"/>
      <c r="E162" s="62"/>
      <c r="F162" s="62">
        <f t="shared" ref="F162:AM162" si="77">SUM(F160:F161)</f>
        <v>14390.173999999999</v>
      </c>
      <c r="G162" s="62">
        <f t="shared" si="77"/>
        <v>238164</v>
      </c>
      <c r="H162" s="62">
        <f t="shared" si="77"/>
        <v>14470.919</v>
      </c>
      <c r="I162" s="62">
        <f t="shared" si="77"/>
        <v>264391</v>
      </c>
      <c r="J162" s="62">
        <f t="shared" si="77"/>
        <v>13664.152</v>
      </c>
      <c r="K162" s="62">
        <f t="shared" si="77"/>
        <v>227948</v>
      </c>
      <c r="L162" s="62">
        <f t="shared" si="77"/>
        <v>42525.244999999995</v>
      </c>
      <c r="M162" s="62">
        <f t="shared" si="77"/>
        <v>730503</v>
      </c>
      <c r="N162" s="62">
        <f t="shared" si="77"/>
        <v>13472.08</v>
      </c>
      <c r="O162" s="62">
        <f t="shared" si="77"/>
        <v>228300</v>
      </c>
      <c r="P162" s="62">
        <f t="shared" si="77"/>
        <v>13542.972</v>
      </c>
      <c r="Q162" s="62">
        <f t="shared" si="77"/>
        <v>224330</v>
      </c>
      <c r="R162" s="62">
        <f t="shared" si="77"/>
        <v>15043.721</v>
      </c>
      <c r="S162" s="62">
        <f t="shared" si="77"/>
        <v>257621</v>
      </c>
      <c r="T162" s="62">
        <f t="shared" si="77"/>
        <v>42058.773000000001</v>
      </c>
      <c r="U162" s="62">
        <f t="shared" si="77"/>
        <v>710251</v>
      </c>
      <c r="V162" s="62">
        <f t="shared" si="77"/>
        <v>14977.207999999999</v>
      </c>
      <c r="W162" s="62">
        <f t="shared" si="77"/>
        <v>261937</v>
      </c>
      <c r="X162" s="62">
        <f t="shared" si="77"/>
        <v>0</v>
      </c>
      <c r="Y162" s="62">
        <f t="shared" si="77"/>
        <v>0</v>
      </c>
      <c r="Z162" s="62">
        <f t="shared" si="77"/>
        <v>0</v>
      </c>
      <c r="AA162" s="62">
        <f t="shared" si="77"/>
        <v>0</v>
      </c>
      <c r="AB162" s="62">
        <f t="shared" si="77"/>
        <v>14977.207999999999</v>
      </c>
      <c r="AC162" s="62">
        <f t="shared" si="77"/>
        <v>261937</v>
      </c>
      <c r="AD162" s="62">
        <f>SUM(AD160:AD161)</f>
        <v>0</v>
      </c>
      <c r="AE162" s="62">
        <f t="shared" si="77"/>
        <v>0</v>
      </c>
      <c r="AF162" s="62">
        <f t="shared" si="77"/>
        <v>0</v>
      </c>
      <c r="AG162" s="62">
        <f t="shared" si="77"/>
        <v>0</v>
      </c>
      <c r="AH162" s="62">
        <f t="shared" si="77"/>
        <v>0</v>
      </c>
      <c r="AI162" s="62">
        <f t="shared" si="77"/>
        <v>0</v>
      </c>
      <c r="AJ162" s="62">
        <f t="shared" si="77"/>
        <v>0</v>
      </c>
      <c r="AK162" s="62">
        <f t="shared" si="77"/>
        <v>0</v>
      </c>
      <c r="AL162" s="62">
        <f t="shared" si="77"/>
        <v>99561.22600000001</v>
      </c>
      <c r="AM162" s="62">
        <f t="shared" si="77"/>
        <v>1702691</v>
      </c>
      <c r="AN162" s="27">
        <v>183906</v>
      </c>
      <c r="AO162" s="27">
        <f>AN162/12*$AO$8</f>
        <v>61302</v>
      </c>
      <c r="AP162" s="28">
        <f>AL162/AO162</f>
        <v>1.624110567355062</v>
      </c>
      <c r="AQ162" s="62"/>
      <c r="AV162" s="30"/>
    </row>
    <row r="163" spans="1:48" s="58" customFormat="1" ht="14.25">
      <c r="A163" s="101"/>
      <c r="B163" s="94"/>
      <c r="C163" s="94" t="s">
        <v>137</v>
      </c>
      <c r="D163" s="94"/>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6"/>
      <c r="AQ163" s="95"/>
      <c r="AV163" s="14"/>
    </row>
    <row r="164" spans="1:48" s="57" customFormat="1" ht="53.45" customHeight="1">
      <c r="A164" s="160">
        <f>+A160+1</f>
        <v>43</v>
      </c>
      <c r="B164" s="145">
        <f>+B160+1</f>
        <v>48</v>
      </c>
      <c r="C164" s="145" t="s">
        <v>138</v>
      </c>
      <c r="D164" s="145" t="s">
        <v>139</v>
      </c>
      <c r="E164" s="20" t="s">
        <v>35</v>
      </c>
      <c r="F164" s="21">
        <v>488.75099999999998</v>
      </c>
      <c r="G164" s="21">
        <v>10520</v>
      </c>
      <c r="H164" s="21">
        <v>487.33699999999999</v>
      </c>
      <c r="I164" s="21">
        <v>11254</v>
      </c>
      <c r="J164" s="21">
        <v>424.16399999999999</v>
      </c>
      <c r="K164" s="21">
        <v>8886</v>
      </c>
      <c r="L164" s="21">
        <f>F164+H164+J164</f>
        <v>1400.252</v>
      </c>
      <c r="M164" s="21">
        <f>G164+I164+K164</f>
        <v>30660</v>
      </c>
      <c r="N164" s="21">
        <v>406.00200000000001</v>
      </c>
      <c r="O164" s="21">
        <v>8662</v>
      </c>
      <c r="P164" s="21">
        <v>406.99700000000001</v>
      </c>
      <c r="Q164" s="21">
        <v>8570</v>
      </c>
      <c r="R164" s="21">
        <v>398.63</v>
      </c>
      <c r="S164" s="21">
        <v>8681</v>
      </c>
      <c r="T164" s="21">
        <f>N164+P164+R164</f>
        <v>1211.6289999999999</v>
      </c>
      <c r="U164" s="22">
        <f>O164+Q164+S164</f>
        <v>25913</v>
      </c>
      <c r="V164" s="21">
        <v>405.51900000000001</v>
      </c>
      <c r="W164" s="21">
        <v>8691</v>
      </c>
      <c r="X164" s="21"/>
      <c r="Y164" s="21"/>
      <c r="Z164" s="21"/>
      <c r="AA164" s="21"/>
      <c r="AB164" s="21">
        <f>V164+X164+Z164</f>
        <v>405.51900000000001</v>
      </c>
      <c r="AC164" s="21">
        <f>W164+Y164+AA164</f>
        <v>8691</v>
      </c>
      <c r="AD164" s="21"/>
      <c r="AE164" s="21"/>
      <c r="AF164" s="21"/>
      <c r="AG164" s="21"/>
      <c r="AH164" s="21"/>
      <c r="AI164" s="21"/>
      <c r="AJ164" s="21">
        <f>AD164+AF164+AH164</f>
        <v>0</v>
      </c>
      <c r="AK164" s="21">
        <f>AE164+AG164+AI164</f>
        <v>0</v>
      </c>
      <c r="AL164" s="21">
        <f>L164+T164+AB164+AJ164</f>
        <v>3017.3999999999996</v>
      </c>
      <c r="AM164" s="21">
        <f>M164+U164+AC164+AK164</f>
        <v>65264</v>
      </c>
      <c r="AN164" s="149"/>
      <c r="AO164" s="149"/>
      <c r="AP164" s="130"/>
      <c r="AQ164" s="132"/>
      <c r="AT164" s="21"/>
      <c r="AU164" s="106"/>
      <c r="AV164" s="4"/>
    </row>
    <row r="165" spans="1:48" s="57" customFormat="1" ht="52.5" customHeight="1">
      <c r="A165" s="160"/>
      <c r="B165" s="145"/>
      <c r="C165" s="145"/>
      <c r="D165" s="145"/>
      <c r="E165" s="20" t="s">
        <v>36</v>
      </c>
      <c r="F165" s="21">
        <v>3356.5949999999998</v>
      </c>
      <c r="G165" s="21">
        <v>76796</v>
      </c>
      <c r="H165" s="21">
        <v>3488.8310000000001</v>
      </c>
      <c r="I165" s="21">
        <v>88777</v>
      </c>
      <c r="J165" s="21">
        <v>3274.7220000000002</v>
      </c>
      <c r="K165" s="21">
        <v>79783</v>
      </c>
      <c r="L165" s="21">
        <f>F165+H165+J165</f>
        <v>10120.147999999999</v>
      </c>
      <c r="M165" s="21">
        <f>G165+I165+K165</f>
        <v>245356</v>
      </c>
      <c r="N165" s="21">
        <v>3238.587</v>
      </c>
      <c r="O165" s="21">
        <v>74785</v>
      </c>
      <c r="P165" s="21">
        <v>2971.0479999999998</v>
      </c>
      <c r="Q165" s="21">
        <f>67827+2</f>
        <v>67829</v>
      </c>
      <c r="R165" s="21">
        <v>2873.8649999999998</v>
      </c>
      <c r="S165" s="21">
        <f>69467+18</f>
        <v>69485</v>
      </c>
      <c r="T165" s="21">
        <f>N165+P165+R165</f>
        <v>9083.5</v>
      </c>
      <c r="U165" s="22">
        <f>O165+Q165+S165</f>
        <v>212099</v>
      </c>
      <c r="V165" s="21">
        <v>2950.13</v>
      </c>
      <c r="W165" s="21">
        <v>70742</v>
      </c>
      <c r="X165" s="21"/>
      <c r="Y165" s="21"/>
      <c r="Z165" s="21"/>
      <c r="AA165" s="21"/>
      <c r="AB165" s="21">
        <f>V165+X165+Z165</f>
        <v>2950.13</v>
      </c>
      <c r="AC165" s="21">
        <f>W165+Y165+AA165</f>
        <v>70742</v>
      </c>
      <c r="AD165" s="21"/>
      <c r="AE165" s="21"/>
      <c r="AF165" s="21"/>
      <c r="AG165" s="21"/>
      <c r="AH165" s="21"/>
      <c r="AI165" s="21"/>
      <c r="AJ165" s="21">
        <f>AD165+AF165+AH165</f>
        <v>0</v>
      </c>
      <c r="AK165" s="21">
        <f>AE165+AG165+AI165</f>
        <v>0</v>
      </c>
      <c r="AL165" s="21">
        <f>L165+T165+AB165+AJ165</f>
        <v>22153.778000000002</v>
      </c>
      <c r="AM165" s="21">
        <f>M165+U165+AC165+AK165</f>
        <v>528197</v>
      </c>
      <c r="AN165" s="150"/>
      <c r="AO165" s="150"/>
      <c r="AP165" s="131"/>
      <c r="AQ165" s="133"/>
      <c r="AT165" s="21"/>
      <c r="AU165" s="106"/>
      <c r="AV165" s="4"/>
    </row>
    <row r="166" spans="1:48" s="63" customFormat="1" ht="18.75" customHeight="1">
      <c r="A166" s="161"/>
      <c r="B166" s="25"/>
      <c r="C166" s="25" t="s">
        <v>37</v>
      </c>
      <c r="D166" s="25"/>
      <c r="E166" s="26"/>
      <c r="F166" s="26">
        <f t="shared" ref="F166:AM166" si="78">SUM(F164:F165)</f>
        <v>3845.3459999999995</v>
      </c>
      <c r="G166" s="26">
        <f t="shared" si="78"/>
        <v>87316</v>
      </c>
      <c r="H166" s="26">
        <f t="shared" si="78"/>
        <v>3976.1680000000001</v>
      </c>
      <c r="I166" s="26">
        <f t="shared" si="78"/>
        <v>100031</v>
      </c>
      <c r="J166" s="26">
        <f t="shared" si="78"/>
        <v>3698.8860000000004</v>
      </c>
      <c r="K166" s="26">
        <f t="shared" si="78"/>
        <v>88669</v>
      </c>
      <c r="L166" s="26">
        <f t="shared" si="78"/>
        <v>11520.4</v>
      </c>
      <c r="M166" s="26">
        <f t="shared" si="78"/>
        <v>276016</v>
      </c>
      <c r="N166" s="26">
        <f t="shared" si="78"/>
        <v>3644.5889999999999</v>
      </c>
      <c r="O166" s="26">
        <f t="shared" si="78"/>
        <v>83447</v>
      </c>
      <c r="P166" s="26">
        <f t="shared" si="78"/>
        <v>3378.0449999999996</v>
      </c>
      <c r="Q166" s="26">
        <f t="shared" si="78"/>
        <v>76399</v>
      </c>
      <c r="R166" s="26">
        <f t="shared" si="78"/>
        <v>3272.4949999999999</v>
      </c>
      <c r="S166" s="26">
        <f t="shared" si="78"/>
        <v>78166</v>
      </c>
      <c r="T166" s="26">
        <f t="shared" si="78"/>
        <v>10295.129000000001</v>
      </c>
      <c r="U166" s="26">
        <f t="shared" si="78"/>
        <v>238012</v>
      </c>
      <c r="V166" s="71">
        <f t="shared" si="78"/>
        <v>3355.6490000000003</v>
      </c>
      <c r="W166" s="71">
        <f t="shared" si="78"/>
        <v>79433</v>
      </c>
      <c r="X166" s="26">
        <f t="shared" si="78"/>
        <v>0</v>
      </c>
      <c r="Y166" s="26">
        <f t="shared" si="78"/>
        <v>0</v>
      </c>
      <c r="Z166" s="26">
        <f t="shared" si="78"/>
        <v>0</v>
      </c>
      <c r="AA166" s="26">
        <f t="shared" si="78"/>
        <v>0</v>
      </c>
      <c r="AB166" s="26">
        <f t="shared" si="78"/>
        <v>3355.6490000000003</v>
      </c>
      <c r="AC166" s="26">
        <f t="shared" si="78"/>
        <v>79433</v>
      </c>
      <c r="AD166" s="26">
        <f t="shared" si="78"/>
        <v>0</v>
      </c>
      <c r="AE166" s="26">
        <f t="shared" si="78"/>
        <v>0</v>
      </c>
      <c r="AF166" s="26">
        <f t="shared" si="78"/>
        <v>0</v>
      </c>
      <c r="AG166" s="26">
        <f t="shared" si="78"/>
        <v>0</v>
      </c>
      <c r="AH166" s="26">
        <f t="shared" si="78"/>
        <v>0</v>
      </c>
      <c r="AI166" s="26">
        <f t="shared" si="78"/>
        <v>0</v>
      </c>
      <c r="AJ166" s="26">
        <f t="shared" si="78"/>
        <v>0</v>
      </c>
      <c r="AK166" s="26">
        <f t="shared" si="78"/>
        <v>0</v>
      </c>
      <c r="AL166" s="26">
        <f>SUM(AL164:AL165)</f>
        <v>25171.178</v>
      </c>
      <c r="AM166" s="26">
        <f t="shared" si="78"/>
        <v>593461</v>
      </c>
      <c r="AN166" s="27">
        <v>137970</v>
      </c>
      <c r="AO166" s="27">
        <f>AN166/12*$AO$8</f>
        <v>45990</v>
      </c>
      <c r="AP166" s="28">
        <f>AL166/AO166</f>
        <v>0.54731850402261362</v>
      </c>
      <c r="AQ166" s="26"/>
      <c r="AR166" s="107"/>
      <c r="AS166" s="107"/>
      <c r="AV166" s="30"/>
    </row>
    <row r="167" spans="1:48" s="57" customFormat="1">
      <c r="A167" s="94"/>
      <c r="B167" s="94"/>
      <c r="C167" s="94" t="s">
        <v>140</v>
      </c>
      <c r="D167" s="94"/>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6"/>
      <c r="AQ167" s="95"/>
      <c r="AR167" s="108"/>
      <c r="AS167" s="108"/>
      <c r="AV167" s="4"/>
    </row>
    <row r="168" spans="1:48" s="57" customFormat="1" ht="27" customHeight="1">
      <c r="A168" s="157">
        <f>A164+1</f>
        <v>44</v>
      </c>
      <c r="B168" s="134">
        <f>+B164+1</f>
        <v>49</v>
      </c>
      <c r="C168" s="157" t="s">
        <v>141</v>
      </c>
      <c r="D168" s="134" t="s">
        <v>142</v>
      </c>
      <c r="E168" s="55" t="s">
        <v>35</v>
      </c>
      <c r="F168" s="47">
        <v>1115.5360000000001</v>
      </c>
      <c r="G168" s="47">
        <v>24062</v>
      </c>
      <c r="H168" s="47">
        <v>972.59699999999998</v>
      </c>
      <c r="I168" s="47">
        <v>23715</v>
      </c>
      <c r="J168" s="47">
        <v>1039.895</v>
      </c>
      <c r="K168" s="47">
        <v>22667</v>
      </c>
      <c r="L168" s="47">
        <f>F168+H168+J168</f>
        <v>3128.0279999999998</v>
      </c>
      <c r="M168" s="47">
        <f>G168+I168+K168</f>
        <v>70444</v>
      </c>
      <c r="N168" s="47">
        <v>989.13699999999994</v>
      </c>
      <c r="O168" s="47">
        <v>20851</v>
      </c>
      <c r="P168" s="47">
        <v>996.39499999999998</v>
      </c>
      <c r="Q168" s="47">
        <v>20299</v>
      </c>
      <c r="R168" s="47">
        <v>916.77</v>
      </c>
      <c r="S168" s="47">
        <v>19520</v>
      </c>
      <c r="T168" s="47">
        <f>N168+P168+R168</f>
        <v>2902.3019999999997</v>
      </c>
      <c r="U168" s="47">
        <f>O168+Q168+S168</f>
        <v>60670</v>
      </c>
      <c r="V168" s="47">
        <v>968.14499999999998</v>
      </c>
      <c r="W168" s="47">
        <v>20617</v>
      </c>
      <c r="X168" s="47"/>
      <c r="Y168" s="47"/>
      <c r="Z168" s="47"/>
      <c r="AA168" s="47"/>
      <c r="AB168" s="47">
        <f>V168+X168+Z168</f>
        <v>968.14499999999998</v>
      </c>
      <c r="AC168" s="47">
        <f>W168+Y168+AA168</f>
        <v>20617</v>
      </c>
      <c r="AD168" s="47"/>
      <c r="AE168" s="47"/>
      <c r="AF168" s="47"/>
      <c r="AG168" s="47"/>
      <c r="AH168" s="56"/>
      <c r="AI168" s="56"/>
      <c r="AJ168" s="47">
        <f>AD168+AF168+AH168</f>
        <v>0</v>
      </c>
      <c r="AK168" s="47">
        <f>AE168+AG168+AI168</f>
        <v>0</v>
      </c>
      <c r="AL168" s="47">
        <f>L168+T168+AB168+AJ168</f>
        <v>6998.4750000000004</v>
      </c>
      <c r="AM168" s="47">
        <f>M168+U168+AC168+AK168</f>
        <v>151731</v>
      </c>
      <c r="AN168" s="163"/>
      <c r="AO168" s="152"/>
      <c r="AP168" s="142"/>
      <c r="AQ168" s="165"/>
      <c r="AV168" s="4"/>
    </row>
    <row r="169" spans="1:48" s="57" customFormat="1" ht="19.5" customHeight="1">
      <c r="A169" s="158"/>
      <c r="B169" s="134"/>
      <c r="C169" s="162"/>
      <c r="D169" s="134"/>
      <c r="E169" s="55" t="s">
        <v>36</v>
      </c>
      <c r="F169" s="47">
        <f>10846.831+14.993</f>
        <v>10861.824000000001</v>
      </c>
      <c r="G169" s="47">
        <v>281800</v>
      </c>
      <c r="H169" s="47">
        <v>10871.614</v>
      </c>
      <c r="I169" s="47">
        <v>286650</v>
      </c>
      <c r="J169" s="47">
        <v>11138.589</v>
      </c>
      <c r="K169" s="47">
        <v>280369</v>
      </c>
      <c r="L169" s="47">
        <f>F169+H169+J169</f>
        <v>32872.027000000002</v>
      </c>
      <c r="M169" s="47">
        <f>G169+I169+K169</f>
        <v>848819</v>
      </c>
      <c r="N169" s="47">
        <v>10368.946</v>
      </c>
      <c r="O169" s="44">
        <v>264829</v>
      </c>
      <c r="P169" s="47">
        <v>10796.862999999999</v>
      </c>
      <c r="Q169" s="47">
        <v>254491</v>
      </c>
      <c r="R169" s="47">
        <v>10679.921</v>
      </c>
      <c r="S169" s="47">
        <v>252921</v>
      </c>
      <c r="T169" s="47">
        <f>N169+P169+R169</f>
        <v>31845.730000000003</v>
      </c>
      <c r="U169" s="47">
        <f>O169+Q169+S169</f>
        <v>772241</v>
      </c>
      <c r="V169" s="47">
        <v>11010.587</v>
      </c>
      <c r="W169" s="47">
        <v>265735</v>
      </c>
      <c r="X169" s="47"/>
      <c r="Y169" s="47"/>
      <c r="Z169" s="47"/>
      <c r="AA169" s="47"/>
      <c r="AB169" s="47">
        <f>V169+X169+Z169</f>
        <v>11010.587</v>
      </c>
      <c r="AC169" s="47">
        <f>W169+Y169+AA169</f>
        <v>265735</v>
      </c>
      <c r="AD169" s="47"/>
      <c r="AE169" s="47"/>
      <c r="AF169" s="47"/>
      <c r="AG169" s="47"/>
      <c r="AH169" s="56"/>
      <c r="AI169" s="56"/>
      <c r="AJ169" s="47">
        <f>AD169+AF169+AH169</f>
        <v>0</v>
      </c>
      <c r="AK169" s="47">
        <f>AE169+AG169+AI169</f>
        <v>0</v>
      </c>
      <c r="AL169" s="47">
        <f>L169+T169+AB169+AJ169</f>
        <v>75728.344000000012</v>
      </c>
      <c r="AM169" s="47">
        <f>M169+U169+AC169+AK169</f>
        <v>1886795</v>
      </c>
      <c r="AN169" s="164"/>
      <c r="AO169" s="154"/>
      <c r="AP169" s="144"/>
      <c r="AQ169" s="165"/>
      <c r="AV169" s="4"/>
    </row>
    <row r="170" spans="1:48" s="63" customFormat="1" ht="17.25" customHeight="1">
      <c r="A170" s="159"/>
      <c r="B170" s="59"/>
      <c r="C170" s="59" t="s">
        <v>37</v>
      </c>
      <c r="D170" s="59"/>
      <c r="E170" s="93"/>
      <c r="F170" s="60">
        <f t="shared" ref="F170:AM170" si="79">SUM(F168:F169)</f>
        <v>11977.36</v>
      </c>
      <c r="G170" s="60">
        <f t="shared" si="79"/>
        <v>305862</v>
      </c>
      <c r="H170" s="60">
        <f t="shared" si="79"/>
        <v>11844.210999999999</v>
      </c>
      <c r="I170" s="60">
        <f t="shared" si="79"/>
        <v>310365</v>
      </c>
      <c r="J170" s="60">
        <f t="shared" si="79"/>
        <v>12178.484</v>
      </c>
      <c r="K170" s="60">
        <f t="shared" si="79"/>
        <v>303036</v>
      </c>
      <c r="L170" s="60">
        <f t="shared" si="79"/>
        <v>36000.055</v>
      </c>
      <c r="M170" s="60">
        <f t="shared" si="79"/>
        <v>919263</v>
      </c>
      <c r="N170" s="60">
        <f t="shared" si="79"/>
        <v>11358.083000000001</v>
      </c>
      <c r="O170" s="60">
        <f t="shared" si="79"/>
        <v>285680</v>
      </c>
      <c r="P170" s="60">
        <f t="shared" si="79"/>
        <v>11793.258</v>
      </c>
      <c r="Q170" s="60">
        <f>SUM(Q168:Q169)</f>
        <v>274790</v>
      </c>
      <c r="R170" s="60">
        <f t="shared" si="79"/>
        <v>11596.691000000001</v>
      </c>
      <c r="S170" s="60">
        <f t="shared" si="79"/>
        <v>272441</v>
      </c>
      <c r="T170" s="60">
        <f t="shared" si="79"/>
        <v>34748.032000000007</v>
      </c>
      <c r="U170" s="60">
        <f t="shared" si="79"/>
        <v>832911</v>
      </c>
      <c r="V170" s="61">
        <f t="shared" si="79"/>
        <v>11978.732</v>
      </c>
      <c r="W170" s="61">
        <f t="shared" si="79"/>
        <v>286352</v>
      </c>
      <c r="X170" s="61">
        <f t="shared" si="79"/>
        <v>0</v>
      </c>
      <c r="Y170" s="61">
        <f t="shared" si="79"/>
        <v>0</v>
      </c>
      <c r="Z170" s="61">
        <f t="shared" si="79"/>
        <v>0</v>
      </c>
      <c r="AA170" s="61">
        <f t="shared" si="79"/>
        <v>0</v>
      </c>
      <c r="AB170" s="61">
        <f t="shared" si="79"/>
        <v>11978.732</v>
      </c>
      <c r="AC170" s="61">
        <f t="shared" si="79"/>
        <v>286352</v>
      </c>
      <c r="AD170" s="61">
        <f t="shared" si="79"/>
        <v>0</v>
      </c>
      <c r="AE170" s="61">
        <f t="shared" si="79"/>
        <v>0</v>
      </c>
      <c r="AF170" s="61">
        <f t="shared" si="79"/>
        <v>0</v>
      </c>
      <c r="AG170" s="61">
        <f t="shared" si="79"/>
        <v>0</v>
      </c>
      <c r="AH170" s="61">
        <f t="shared" si="79"/>
        <v>0</v>
      </c>
      <c r="AI170" s="61">
        <f t="shared" si="79"/>
        <v>0</v>
      </c>
      <c r="AJ170" s="61">
        <f t="shared" si="79"/>
        <v>0</v>
      </c>
      <c r="AK170" s="61">
        <f t="shared" si="79"/>
        <v>0</v>
      </c>
      <c r="AL170" s="109">
        <f t="shared" si="79"/>
        <v>82726.819000000018</v>
      </c>
      <c r="AM170" s="109">
        <f t="shared" si="79"/>
        <v>2038526</v>
      </c>
      <c r="AN170" s="27">
        <v>84099</v>
      </c>
      <c r="AO170" s="27">
        <f>AN170/12*$AO$8</f>
        <v>28033</v>
      </c>
      <c r="AP170" s="28">
        <f>AL170/AO170</f>
        <v>2.9510512253415624</v>
      </c>
      <c r="AQ170" s="60"/>
      <c r="AV170" s="30"/>
    </row>
    <row r="171" spans="1:48" s="57" customFormat="1" ht="45.75" customHeight="1">
      <c r="A171" s="157">
        <f>A168+1</f>
        <v>45</v>
      </c>
      <c r="B171" s="145">
        <f>B168+1</f>
        <v>50</v>
      </c>
      <c r="C171" s="145" t="s">
        <v>143</v>
      </c>
      <c r="D171" s="145" t="s">
        <v>144</v>
      </c>
      <c r="E171" s="39" t="s">
        <v>35</v>
      </c>
      <c r="F171" s="22">
        <v>572.447</v>
      </c>
      <c r="G171" s="22">
        <v>15772</v>
      </c>
      <c r="H171" s="22">
        <v>458.11</v>
      </c>
      <c r="I171" s="22">
        <v>13651</v>
      </c>
      <c r="J171" s="22">
        <v>475.36799999999999</v>
      </c>
      <c r="K171" s="22">
        <v>12106</v>
      </c>
      <c r="L171" s="21">
        <f>F171+H171+J171</f>
        <v>1505.925</v>
      </c>
      <c r="M171" s="21">
        <f>G171+I171+K171</f>
        <v>41529</v>
      </c>
      <c r="N171" s="22">
        <v>421.73700000000002</v>
      </c>
      <c r="O171" s="22">
        <v>11045</v>
      </c>
      <c r="P171" s="22">
        <v>312.74700000000001</v>
      </c>
      <c r="Q171" s="22">
        <v>8386</v>
      </c>
      <c r="R171" s="22">
        <v>288.84500000000003</v>
      </c>
      <c r="S171" s="22">
        <v>8121</v>
      </c>
      <c r="T171" s="21">
        <f>N171+P171+R171</f>
        <v>1023.3290000000001</v>
      </c>
      <c r="U171" s="22">
        <f>O171+Q171+S171</f>
        <v>27552</v>
      </c>
      <c r="V171" s="40">
        <v>259.28800000000001</v>
      </c>
      <c r="W171" s="40">
        <v>7478</v>
      </c>
      <c r="X171" s="22"/>
      <c r="Y171" s="22"/>
      <c r="Z171" s="22"/>
      <c r="AA171" s="22"/>
      <c r="AB171" s="21">
        <f>V171+X171+Z171</f>
        <v>259.28800000000001</v>
      </c>
      <c r="AC171" s="21">
        <f>W171+Y171+AA171</f>
        <v>7478</v>
      </c>
      <c r="AD171" s="22"/>
      <c r="AE171" s="22"/>
      <c r="AF171" s="22"/>
      <c r="AG171" s="22"/>
      <c r="AH171" s="22"/>
      <c r="AI171" s="22"/>
      <c r="AJ171" s="21">
        <f>AD171+AF171+AH171</f>
        <v>0</v>
      </c>
      <c r="AK171" s="21">
        <f>AE171+AG171+AI171</f>
        <v>0</v>
      </c>
      <c r="AL171" s="21">
        <f>L171+T171+AB171+AJ171</f>
        <v>2788.5419999999999</v>
      </c>
      <c r="AM171" s="21">
        <f>M171+U171+AC171+AK171</f>
        <v>76559</v>
      </c>
      <c r="AN171" s="149"/>
      <c r="AO171" s="149"/>
      <c r="AP171" s="130"/>
      <c r="AQ171" s="132"/>
      <c r="AV171" s="4"/>
    </row>
    <row r="172" spans="1:48" s="57" customFormat="1" ht="49.5" customHeight="1">
      <c r="A172" s="158"/>
      <c r="B172" s="145"/>
      <c r="C172" s="145"/>
      <c r="D172" s="145"/>
      <c r="E172" s="39" t="s">
        <v>36</v>
      </c>
      <c r="F172" s="22">
        <v>7002.79</v>
      </c>
      <c r="G172" s="22">
        <v>198716</v>
      </c>
      <c r="H172" s="22">
        <v>6378.6229999999996</v>
      </c>
      <c r="I172" s="22">
        <v>187454</v>
      </c>
      <c r="J172" s="22">
        <v>7060.9160000000002</v>
      </c>
      <c r="K172" s="22">
        <v>195455</v>
      </c>
      <c r="L172" s="21">
        <f>F172+H172+J172</f>
        <v>20442.329000000002</v>
      </c>
      <c r="M172" s="21">
        <f>G172+I172+K172</f>
        <v>581625</v>
      </c>
      <c r="N172" s="22">
        <v>6754.134</v>
      </c>
      <c r="O172" s="22">
        <v>190821</v>
      </c>
      <c r="P172" s="22">
        <v>6292.6530000000002</v>
      </c>
      <c r="Q172" s="22">
        <v>173230</v>
      </c>
      <c r="R172" s="22">
        <v>5805.07</v>
      </c>
      <c r="S172" s="22">
        <v>165210</v>
      </c>
      <c r="T172" s="21">
        <f>N172+P172+R172</f>
        <v>18851.857</v>
      </c>
      <c r="U172" s="22">
        <f>O172+Q172+S172</f>
        <v>529261</v>
      </c>
      <c r="V172" s="40">
        <v>5840.8540000000003</v>
      </c>
      <c r="W172" s="40">
        <v>168961</v>
      </c>
      <c r="X172" s="22"/>
      <c r="Y172" s="22"/>
      <c r="Z172" s="22"/>
      <c r="AA172" s="22"/>
      <c r="AB172" s="21">
        <f>V172+X172+Z172</f>
        <v>5840.8540000000003</v>
      </c>
      <c r="AC172" s="21">
        <f>W172+Y172+AA172</f>
        <v>168961</v>
      </c>
      <c r="AD172" s="22"/>
      <c r="AE172" s="22"/>
      <c r="AF172" s="22"/>
      <c r="AG172" s="22"/>
      <c r="AH172" s="22"/>
      <c r="AI172" s="22"/>
      <c r="AJ172" s="21">
        <f>AD172+AF172+AH172</f>
        <v>0</v>
      </c>
      <c r="AK172" s="21">
        <f>AE172+AG172+AI172</f>
        <v>0</v>
      </c>
      <c r="AL172" s="21">
        <f>L172+T172+AB172+AJ172</f>
        <v>45135.040000000001</v>
      </c>
      <c r="AM172" s="21">
        <f>M172+U172+AC172+AK172</f>
        <v>1279847</v>
      </c>
      <c r="AN172" s="150"/>
      <c r="AO172" s="150"/>
      <c r="AP172" s="131"/>
      <c r="AQ172" s="133"/>
      <c r="AV172" s="4"/>
    </row>
    <row r="173" spans="1:48" s="63" customFormat="1" ht="21.75" customHeight="1">
      <c r="A173" s="159"/>
      <c r="B173" s="146"/>
      <c r="C173" s="25" t="s">
        <v>37</v>
      </c>
      <c r="D173" s="25"/>
      <c r="E173" s="71"/>
      <c r="F173" s="71">
        <f t="shared" ref="F173:AM173" si="80">SUM(F171:F172)</f>
        <v>7575.2370000000001</v>
      </c>
      <c r="G173" s="71">
        <f t="shared" si="80"/>
        <v>214488</v>
      </c>
      <c r="H173" s="71">
        <f t="shared" si="80"/>
        <v>6836.7329999999993</v>
      </c>
      <c r="I173" s="71">
        <f>SUM(I171:I172)</f>
        <v>201105</v>
      </c>
      <c r="J173" s="71">
        <f t="shared" si="80"/>
        <v>7536.2840000000006</v>
      </c>
      <c r="K173" s="71">
        <f t="shared" si="80"/>
        <v>207561</v>
      </c>
      <c r="L173" s="71">
        <f t="shared" si="80"/>
        <v>21948.254000000001</v>
      </c>
      <c r="M173" s="71">
        <f t="shared" si="80"/>
        <v>623154</v>
      </c>
      <c r="N173" s="71">
        <f t="shared" si="80"/>
        <v>7175.8710000000001</v>
      </c>
      <c r="O173" s="71">
        <f t="shared" si="80"/>
        <v>201866</v>
      </c>
      <c r="P173" s="71">
        <f t="shared" si="80"/>
        <v>6605.4000000000005</v>
      </c>
      <c r="Q173" s="71">
        <f t="shared" si="80"/>
        <v>181616</v>
      </c>
      <c r="R173" s="71">
        <f t="shared" si="80"/>
        <v>6093.915</v>
      </c>
      <c r="S173" s="71">
        <f t="shared" si="80"/>
        <v>173331</v>
      </c>
      <c r="T173" s="71">
        <f t="shared" si="80"/>
        <v>19875.186000000002</v>
      </c>
      <c r="U173" s="71">
        <f t="shared" si="80"/>
        <v>556813</v>
      </c>
      <c r="V173" s="71">
        <f t="shared" si="80"/>
        <v>6100.1419999999998</v>
      </c>
      <c r="W173" s="71">
        <f t="shared" si="80"/>
        <v>176439</v>
      </c>
      <c r="X173" s="71">
        <f t="shared" si="80"/>
        <v>0</v>
      </c>
      <c r="Y173" s="71">
        <f t="shared" si="80"/>
        <v>0</v>
      </c>
      <c r="Z173" s="71">
        <f t="shared" si="80"/>
        <v>0</v>
      </c>
      <c r="AA173" s="71">
        <f t="shared" si="80"/>
        <v>0</v>
      </c>
      <c r="AB173" s="71">
        <f t="shared" si="80"/>
        <v>6100.1419999999998</v>
      </c>
      <c r="AC173" s="71">
        <f t="shared" si="80"/>
        <v>176439</v>
      </c>
      <c r="AD173" s="71">
        <f t="shared" si="80"/>
        <v>0</v>
      </c>
      <c r="AE173" s="71">
        <f t="shared" si="80"/>
        <v>0</v>
      </c>
      <c r="AF173" s="71">
        <f t="shared" si="80"/>
        <v>0</v>
      </c>
      <c r="AG173" s="71">
        <f t="shared" si="80"/>
        <v>0</v>
      </c>
      <c r="AH173" s="71">
        <f t="shared" si="80"/>
        <v>0</v>
      </c>
      <c r="AI173" s="71">
        <f t="shared" si="80"/>
        <v>0</v>
      </c>
      <c r="AJ173" s="71">
        <f t="shared" si="80"/>
        <v>0</v>
      </c>
      <c r="AK173" s="71">
        <f t="shared" si="80"/>
        <v>0</v>
      </c>
      <c r="AL173" s="110">
        <f t="shared" si="80"/>
        <v>47923.582000000002</v>
      </c>
      <c r="AM173" s="110">
        <f t="shared" si="80"/>
        <v>1356406</v>
      </c>
      <c r="AN173" s="27">
        <v>267724</v>
      </c>
      <c r="AO173" s="27">
        <f>AN173/12*$AO$8</f>
        <v>89241.333333333328</v>
      </c>
      <c r="AP173" s="28">
        <f>AL173/AO173</f>
        <v>0.5370110486919365</v>
      </c>
      <c r="AQ173" s="26"/>
      <c r="AV173" s="30"/>
    </row>
    <row r="174" spans="1:48" s="57" customFormat="1">
      <c r="A174" s="54"/>
      <c r="B174" s="54"/>
      <c r="C174" s="94" t="s">
        <v>145</v>
      </c>
      <c r="D174" s="54"/>
      <c r="E174" s="56"/>
      <c r="F174" s="55"/>
      <c r="G174" s="55"/>
      <c r="H174" s="55"/>
      <c r="I174" s="55"/>
      <c r="J174" s="55"/>
      <c r="K174" s="55"/>
      <c r="L174" s="56"/>
      <c r="M174" s="56"/>
      <c r="N174" s="55"/>
      <c r="O174" s="55"/>
      <c r="P174" s="55"/>
      <c r="Q174" s="55"/>
      <c r="R174" s="55"/>
      <c r="S174" s="55"/>
      <c r="T174" s="83"/>
      <c r="U174" s="56"/>
      <c r="V174" s="55"/>
      <c r="W174" s="55"/>
      <c r="X174" s="55"/>
      <c r="Y174" s="55"/>
      <c r="Z174" s="55"/>
      <c r="AA174" s="55"/>
      <c r="AB174" s="83"/>
      <c r="AC174" s="83"/>
      <c r="AD174" s="55"/>
      <c r="AE174" s="55"/>
      <c r="AF174" s="55"/>
      <c r="AG174" s="55"/>
      <c r="AH174" s="55"/>
      <c r="AI174" s="55"/>
      <c r="AJ174" s="83"/>
      <c r="AK174" s="83"/>
      <c r="AL174" s="83"/>
      <c r="AM174" s="83"/>
      <c r="AN174" s="83"/>
      <c r="AO174" s="83"/>
      <c r="AP174" s="92"/>
      <c r="AQ174" s="83"/>
      <c r="AV174" s="4"/>
    </row>
    <row r="175" spans="1:48" s="57" customFormat="1" ht="24.75" customHeight="1">
      <c r="A175" s="134">
        <f>A171+1</f>
        <v>46</v>
      </c>
      <c r="B175" s="134">
        <f>B171+1</f>
        <v>51</v>
      </c>
      <c r="C175" s="156" t="s">
        <v>146</v>
      </c>
      <c r="D175" s="156" t="s">
        <v>147</v>
      </c>
      <c r="E175" s="55" t="s">
        <v>35</v>
      </c>
      <c r="F175" s="56">
        <v>4646.66</v>
      </c>
      <c r="G175" s="56">
        <v>104733</v>
      </c>
      <c r="H175" s="56">
        <v>6485.0479999999998</v>
      </c>
      <c r="I175" s="56">
        <v>167843</v>
      </c>
      <c r="J175" s="56">
        <v>5154.2669999999998</v>
      </c>
      <c r="K175" s="56">
        <v>116693</v>
      </c>
      <c r="L175" s="83">
        <f>F175+H175+J175</f>
        <v>16285.974999999999</v>
      </c>
      <c r="M175" s="83">
        <f>G175+I175+K175</f>
        <v>389269</v>
      </c>
      <c r="N175" s="83">
        <v>5119.268</v>
      </c>
      <c r="O175" s="83">
        <v>116992</v>
      </c>
      <c r="P175" s="83">
        <v>4562.09</v>
      </c>
      <c r="Q175" s="83">
        <v>99336</v>
      </c>
      <c r="R175" s="56">
        <v>4686.7640000000001</v>
      </c>
      <c r="S175" s="56">
        <v>105618</v>
      </c>
      <c r="T175" s="83">
        <f>N175+P175+R175</f>
        <v>14368.121999999999</v>
      </c>
      <c r="U175" s="56">
        <f>O175+Q175+S175</f>
        <v>321946</v>
      </c>
      <c r="V175" s="56">
        <v>4582.8159999999998</v>
      </c>
      <c r="W175" s="56">
        <v>103946</v>
      </c>
      <c r="X175" s="56"/>
      <c r="Y175" s="56"/>
      <c r="Z175" s="56"/>
      <c r="AA175" s="56"/>
      <c r="AB175" s="83">
        <f>V175+X175+Z175</f>
        <v>4582.8159999999998</v>
      </c>
      <c r="AC175" s="83">
        <f>W175+Y175+AA175</f>
        <v>103946</v>
      </c>
      <c r="AD175" s="56"/>
      <c r="AE175" s="56"/>
      <c r="AF175" s="56"/>
      <c r="AG175" s="56"/>
      <c r="AH175" s="56"/>
      <c r="AI175" s="56"/>
      <c r="AJ175" s="83">
        <f>AD175+AF175+AH175</f>
        <v>0</v>
      </c>
      <c r="AK175" s="83">
        <f>AE175+AG175+AI175</f>
        <v>0</v>
      </c>
      <c r="AL175" s="83">
        <f>L175+T175+AB175+AJ175</f>
        <v>35236.913</v>
      </c>
      <c r="AM175" s="83">
        <f>M175+U175+AC175+AK175</f>
        <v>815161</v>
      </c>
      <c r="AN175" s="139"/>
      <c r="AO175" s="139"/>
      <c r="AP175" s="142"/>
      <c r="AQ175" s="139"/>
      <c r="AV175" s="4"/>
    </row>
    <row r="176" spans="1:48" s="57" customFormat="1" ht="27" customHeight="1">
      <c r="A176" s="134"/>
      <c r="B176" s="134"/>
      <c r="C176" s="156"/>
      <c r="D176" s="156"/>
      <c r="E176" s="55" t="s">
        <v>36</v>
      </c>
      <c r="F176" s="56">
        <v>0</v>
      </c>
      <c r="G176" s="56">
        <v>0</v>
      </c>
      <c r="H176" s="56">
        <v>0</v>
      </c>
      <c r="I176" s="56">
        <v>0</v>
      </c>
      <c r="J176" s="56">
        <v>0</v>
      </c>
      <c r="K176" s="56">
        <v>0</v>
      </c>
      <c r="L176" s="83">
        <f>F176+H176+J176</f>
        <v>0</v>
      </c>
      <c r="M176" s="83">
        <f>G176+I176+K176</f>
        <v>0</v>
      </c>
      <c r="N176" s="83">
        <v>0</v>
      </c>
      <c r="O176" s="83">
        <v>0</v>
      </c>
      <c r="P176" s="83">
        <v>0</v>
      </c>
      <c r="Q176" s="83">
        <v>0</v>
      </c>
      <c r="R176" s="56">
        <v>0</v>
      </c>
      <c r="S176" s="56">
        <v>0</v>
      </c>
      <c r="T176" s="83">
        <f>N176+P176+R176</f>
        <v>0</v>
      </c>
      <c r="U176" s="56">
        <f>O176+Q176+S176</f>
        <v>0</v>
      </c>
      <c r="V176" s="56">
        <v>0</v>
      </c>
      <c r="W176" s="56">
        <v>0</v>
      </c>
      <c r="X176" s="56"/>
      <c r="Y176" s="56"/>
      <c r="Z176" s="56"/>
      <c r="AA176" s="56"/>
      <c r="AB176" s="83">
        <f>V176+X176+Z176</f>
        <v>0</v>
      </c>
      <c r="AC176" s="83">
        <f>W176+Y176+AA176</f>
        <v>0</v>
      </c>
      <c r="AD176" s="56"/>
      <c r="AE176" s="56"/>
      <c r="AF176" s="56"/>
      <c r="AG176" s="56"/>
      <c r="AH176" s="56"/>
      <c r="AI176" s="56"/>
      <c r="AJ176" s="83">
        <f>AD176+AF176+AH176</f>
        <v>0</v>
      </c>
      <c r="AK176" s="83">
        <f>AE176+AG176+AI176</f>
        <v>0</v>
      </c>
      <c r="AL176" s="83">
        <f>L176+T176+AB176+AJ176</f>
        <v>0</v>
      </c>
      <c r="AM176" s="83">
        <f>M176+U176+AC176+AK176</f>
        <v>0</v>
      </c>
      <c r="AN176" s="141"/>
      <c r="AO176" s="141"/>
      <c r="AP176" s="144"/>
      <c r="AQ176" s="141"/>
      <c r="AV176" s="4"/>
    </row>
    <row r="177" spans="1:48" s="63" customFormat="1" ht="21.75" customHeight="1">
      <c r="A177" s="135"/>
      <c r="B177" s="135"/>
      <c r="C177" s="105" t="s">
        <v>37</v>
      </c>
      <c r="D177" s="105"/>
      <c r="E177" s="60"/>
      <c r="F177" s="60">
        <f t="shared" ref="F177:AM177" si="81">SUM(F175:F176)</f>
        <v>4646.66</v>
      </c>
      <c r="G177" s="60">
        <f t="shared" si="81"/>
        <v>104733</v>
      </c>
      <c r="H177" s="60">
        <f>SUM(H175:H176)</f>
        <v>6485.0479999999998</v>
      </c>
      <c r="I177" s="60">
        <f t="shared" si="81"/>
        <v>167843</v>
      </c>
      <c r="J177" s="60">
        <f t="shared" si="81"/>
        <v>5154.2669999999998</v>
      </c>
      <c r="K177" s="60">
        <f t="shared" si="81"/>
        <v>116693</v>
      </c>
      <c r="L177" s="60">
        <f t="shared" si="81"/>
        <v>16285.974999999999</v>
      </c>
      <c r="M177" s="60">
        <f t="shared" si="81"/>
        <v>389269</v>
      </c>
      <c r="N177" s="62">
        <f t="shared" si="81"/>
        <v>5119.268</v>
      </c>
      <c r="O177" s="62">
        <f t="shared" si="81"/>
        <v>116992</v>
      </c>
      <c r="P177" s="62">
        <f t="shared" si="81"/>
        <v>4562.09</v>
      </c>
      <c r="Q177" s="62">
        <f t="shared" si="81"/>
        <v>99336</v>
      </c>
      <c r="R177" s="60">
        <f t="shared" si="81"/>
        <v>4686.7640000000001</v>
      </c>
      <c r="S177" s="60">
        <f t="shared" si="81"/>
        <v>105618</v>
      </c>
      <c r="T177" s="60">
        <f t="shared" si="81"/>
        <v>14368.121999999999</v>
      </c>
      <c r="U177" s="60">
        <f t="shared" si="81"/>
        <v>321946</v>
      </c>
      <c r="V177" s="60">
        <f t="shared" si="81"/>
        <v>4582.8159999999998</v>
      </c>
      <c r="W177" s="60">
        <f t="shared" si="81"/>
        <v>103946</v>
      </c>
      <c r="X177" s="60">
        <f t="shared" si="81"/>
        <v>0</v>
      </c>
      <c r="Y177" s="60">
        <f t="shared" si="81"/>
        <v>0</v>
      </c>
      <c r="Z177" s="60">
        <f t="shared" si="81"/>
        <v>0</v>
      </c>
      <c r="AA177" s="60">
        <f t="shared" si="81"/>
        <v>0</v>
      </c>
      <c r="AB177" s="60">
        <f t="shared" si="81"/>
        <v>4582.8159999999998</v>
      </c>
      <c r="AC177" s="60">
        <f t="shared" si="81"/>
        <v>103946</v>
      </c>
      <c r="AD177" s="60">
        <f t="shared" si="81"/>
        <v>0</v>
      </c>
      <c r="AE177" s="60">
        <f t="shared" si="81"/>
        <v>0</v>
      </c>
      <c r="AF177" s="60">
        <f t="shared" si="81"/>
        <v>0</v>
      </c>
      <c r="AG177" s="60">
        <f t="shared" si="81"/>
        <v>0</v>
      </c>
      <c r="AH177" s="60">
        <f t="shared" si="81"/>
        <v>0</v>
      </c>
      <c r="AI177" s="60">
        <f t="shared" si="81"/>
        <v>0</v>
      </c>
      <c r="AJ177" s="60">
        <f t="shared" si="81"/>
        <v>0</v>
      </c>
      <c r="AK177" s="60">
        <f t="shared" si="81"/>
        <v>0</v>
      </c>
      <c r="AL177" s="111">
        <f t="shared" si="81"/>
        <v>35236.913</v>
      </c>
      <c r="AM177" s="111">
        <f t="shared" si="81"/>
        <v>815161</v>
      </c>
      <c r="AN177" s="27">
        <v>238678</v>
      </c>
      <c r="AO177" s="27">
        <f>AN177/12*$AO$8</f>
        <v>79559.333333333328</v>
      </c>
      <c r="AP177" s="28">
        <f>AL177/AO177</f>
        <v>0.44290105916758143</v>
      </c>
      <c r="AQ177" s="62"/>
      <c r="AV177" s="30"/>
    </row>
    <row r="178" spans="1:48" s="57" customFormat="1">
      <c r="A178" s="54"/>
      <c r="B178" s="54"/>
      <c r="C178" s="94" t="s">
        <v>148</v>
      </c>
      <c r="D178" s="54"/>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6"/>
      <c r="AQ178" s="95"/>
      <c r="AV178" s="4"/>
    </row>
    <row r="179" spans="1:48" s="57" customFormat="1" ht="36.75" customHeight="1">
      <c r="A179" s="145">
        <f>A175+1</f>
        <v>47</v>
      </c>
      <c r="B179" s="145">
        <v>52</v>
      </c>
      <c r="C179" s="145" t="s">
        <v>149</v>
      </c>
      <c r="D179" s="145" t="s">
        <v>150</v>
      </c>
      <c r="E179" s="39" t="s">
        <v>35</v>
      </c>
      <c r="F179" s="22">
        <v>6406.7120000000004</v>
      </c>
      <c r="G179" s="22">
        <v>148452</v>
      </c>
      <c r="H179" s="22">
        <v>7317.1869999999999</v>
      </c>
      <c r="I179" s="22">
        <v>163721</v>
      </c>
      <c r="J179" s="22">
        <v>6444.4709999999995</v>
      </c>
      <c r="K179" s="22">
        <v>145267</v>
      </c>
      <c r="L179" s="21">
        <f>F179+H179+J179</f>
        <v>20168.370000000003</v>
      </c>
      <c r="M179" s="21">
        <f>G179+I179+K179</f>
        <v>457440</v>
      </c>
      <c r="N179" s="22">
        <v>6886.201</v>
      </c>
      <c r="O179" s="22">
        <v>152392</v>
      </c>
      <c r="P179" s="22">
        <v>6604.9769999999999</v>
      </c>
      <c r="Q179" s="22">
        <v>146545</v>
      </c>
      <c r="R179" s="22">
        <v>6434.848</v>
      </c>
      <c r="S179" s="22">
        <v>145216</v>
      </c>
      <c r="T179" s="21">
        <f>N179+P179+R179</f>
        <v>19926.025999999998</v>
      </c>
      <c r="U179" s="22">
        <f>O179+Q179+S179</f>
        <v>444153</v>
      </c>
      <c r="V179" s="22">
        <v>6634.8289999999997</v>
      </c>
      <c r="W179" s="22">
        <v>151589</v>
      </c>
      <c r="X179" s="22"/>
      <c r="Y179" s="22"/>
      <c r="Z179" s="22"/>
      <c r="AA179" s="22"/>
      <c r="AB179" s="21">
        <f>V179+X179+Z179</f>
        <v>6634.8289999999997</v>
      </c>
      <c r="AC179" s="21">
        <f>W179+Y179+AA179</f>
        <v>151589</v>
      </c>
      <c r="AD179" s="22"/>
      <c r="AE179" s="22"/>
      <c r="AF179" s="22"/>
      <c r="AG179" s="22"/>
      <c r="AH179" s="22"/>
      <c r="AI179" s="22"/>
      <c r="AJ179" s="21">
        <f>AD179+AF179+AH179</f>
        <v>0</v>
      </c>
      <c r="AK179" s="21">
        <f>AE179+AG179+AI179</f>
        <v>0</v>
      </c>
      <c r="AL179" s="21">
        <f>L179+T179+AB179+AJ179</f>
        <v>46729.224999999999</v>
      </c>
      <c r="AM179" s="21">
        <f>M179+U179+AC179+AK179</f>
        <v>1053182</v>
      </c>
      <c r="AN179" s="149"/>
      <c r="AO179" s="132"/>
      <c r="AP179" s="130"/>
      <c r="AQ179" s="132"/>
      <c r="AV179" s="4"/>
    </row>
    <row r="180" spans="1:48" s="57" customFormat="1" ht="36.75" customHeight="1">
      <c r="A180" s="145"/>
      <c r="B180" s="145"/>
      <c r="C180" s="145"/>
      <c r="D180" s="145"/>
      <c r="E180" s="39" t="s">
        <v>36</v>
      </c>
      <c r="F180" s="22">
        <v>0</v>
      </c>
      <c r="G180" s="22">
        <v>0</v>
      </c>
      <c r="H180" s="22">
        <v>0</v>
      </c>
      <c r="I180" s="22">
        <v>0</v>
      </c>
      <c r="J180" s="22">
        <v>0</v>
      </c>
      <c r="K180" s="22">
        <v>0</v>
      </c>
      <c r="L180" s="21">
        <f>F180+H180+J180</f>
        <v>0</v>
      </c>
      <c r="M180" s="21">
        <f>G180+I180+K180</f>
        <v>0</v>
      </c>
      <c r="N180" s="22">
        <v>0</v>
      </c>
      <c r="O180" s="22">
        <v>0</v>
      </c>
      <c r="P180" s="22">
        <v>0</v>
      </c>
      <c r="Q180" s="22">
        <v>0</v>
      </c>
      <c r="R180" s="22">
        <v>0</v>
      </c>
      <c r="S180" s="22">
        <v>0</v>
      </c>
      <c r="T180" s="21">
        <f>N180+P180+R180</f>
        <v>0</v>
      </c>
      <c r="U180" s="22">
        <f>O180+Q180+S180</f>
        <v>0</v>
      </c>
      <c r="V180" s="22">
        <v>0</v>
      </c>
      <c r="W180" s="22">
        <v>0</v>
      </c>
      <c r="X180" s="22"/>
      <c r="Y180" s="22"/>
      <c r="Z180" s="22"/>
      <c r="AA180" s="22"/>
      <c r="AB180" s="21">
        <f>V180+X180+Z180</f>
        <v>0</v>
      </c>
      <c r="AC180" s="21">
        <f>W180+Y180+AA180</f>
        <v>0</v>
      </c>
      <c r="AD180" s="22"/>
      <c r="AE180" s="22"/>
      <c r="AF180" s="22"/>
      <c r="AG180" s="22"/>
      <c r="AH180" s="22"/>
      <c r="AI180" s="22"/>
      <c r="AJ180" s="21">
        <f>AD180+AF180+AH180</f>
        <v>0</v>
      </c>
      <c r="AK180" s="21">
        <f>AE180+AG180+AI180</f>
        <v>0</v>
      </c>
      <c r="AL180" s="21">
        <f>L180+T180+AB180+AJ180</f>
        <v>0</v>
      </c>
      <c r="AM180" s="21">
        <f>M180+U180+AC180+AK180</f>
        <v>0</v>
      </c>
      <c r="AN180" s="150"/>
      <c r="AO180" s="133"/>
      <c r="AP180" s="131"/>
      <c r="AQ180" s="133"/>
      <c r="AV180" s="4"/>
    </row>
    <row r="181" spans="1:48" s="63" customFormat="1" ht="20.25" customHeight="1">
      <c r="A181" s="146"/>
      <c r="B181" s="146"/>
      <c r="C181" s="25" t="s">
        <v>37</v>
      </c>
      <c r="D181" s="25"/>
      <c r="E181" s="71"/>
      <c r="F181" s="71">
        <f t="shared" ref="F181:AC181" si="82">SUM(F179:F180)</f>
        <v>6406.7120000000004</v>
      </c>
      <c r="G181" s="71">
        <f t="shared" si="82"/>
        <v>148452</v>
      </c>
      <c r="H181" s="71">
        <f t="shared" si="82"/>
        <v>7317.1869999999999</v>
      </c>
      <c r="I181" s="71">
        <f t="shared" si="82"/>
        <v>163721</v>
      </c>
      <c r="J181" s="71">
        <f>SUM(J179:J180)</f>
        <v>6444.4709999999995</v>
      </c>
      <c r="K181" s="71">
        <f t="shared" si="82"/>
        <v>145267</v>
      </c>
      <c r="L181" s="71">
        <f t="shared" si="82"/>
        <v>20168.370000000003</v>
      </c>
      <c r="M181" s="71">
        <f t="shared" si="82"/>
        <v>457440</v>
      </c>
      <c r="N181" s="71">
        <f t="shared" si="82"/>
        <v>6886.201</v>
      </c>
      <c r="O181" s="71">
        <f t="shared" si="82"/>
        <v>152392</v>
      </c>
      <c r="P181" s="71">
        <f t="shared" si="82"/>
        <v>6604.9769999999999</v>
      </c>
      <c r="Q181" s="71">
        <f t="shared" si="82"/>
        <v>146545</v>
      </c>
      <c r="R181" s="71">
        <f t="shared" si="82"/>
        <v>6434.848</v>
      </c>
      <c r="S181" s="71">
        <f t="shared" si="82"/>
        <v>145216</v>
      </c>
      <c r="T181" s="71">
        <f t="shared" si="82"/>
        <v>19926.025999999998</v>
      </c>
      <c r="U181" s="71">
        <f t="shared" si="82"/>
        <v>444153</v>
      </c>
      <c r="V181" s="71">
        <f t="shared" si="82"/>
        <v>6634.8289999999997</v>
      </c>
      <c r="W181" s="71">
        <f t="shared" si="82"/>
        <v>151589</v>
      </c>
      <c r="X181" s="71">
        <f t="shared" si="82"/>
        <v>0</v>
      </c>
      <c r="Y181" s="71">
        <f t="shared" si="82"/>
        <v>0</v>
      </c>
      <c r="Z181" s="71">
        <f t="shared" si="82"/>
        <v>0</v>
      </c>
      <c r="AA181" s="71">
        <f t="shared" si="82"/>
        <v>0</v>
      </c>
      <c r="AB181" s="71">
        <f t="shared" si="82"/>
        <v>6634.8289999999997</v>
      </c>
      <c r="AC181" s="71">
        <f t="shared" si="82"/>
        <v>151589</v>
      </c>
      <c r="AD181" s="71">
        <f t="shared" ref="AD181:AK181" si="83">AD179+AD180</f>
        <v>0</v>
      </c>
      <c r="AE181" s="71">
        <f t="shared" si="83"/>
        <v>0</v>
      </c>
      <c r="AF181" s="71">
        <f t="shared" si="83"/>
        <v>0</v>
      </c>
      <c r="AG181" s="71">
        <f t="shared" si="83"/>
        <v>0</v>
      </c>
      <c r="AH181" s="71">
        <f t="shared" si="83"/>
        <v>0</v>
      </c>
      <c r="AI181" s="71">
        <f t="shared" si="83"/>
        <v>0</v>
      </c>
      <c r="AJ181" s="71">
        <f t="shared" si="83"/>
        <v>0</v>
      </c>
      <c r="AK181" s="71">
        <f t="shared" si="83"/>
        <v>0</v>
      </c>
      <c r="AL181" s="71">
        <f>SUM(AL179:AL180)</f>
        <v>46729.224999999999</v>
      </c>
      <c r="AM181" s="71">
        <f>SUM(AM179:AM180)</f>
        <v>1053182</v>
      </c>
      <c r="AN181" s="27">
        <v>133420</v>
      </c>
      <c r="AO181" s="27">
        <f>AN181/12*$AO$8</f>
        <v>44473.333333333336</v>
      </c>
      <c r="AP181" s="28">
        <f>AL181/AO181</f>
        <v>1.0507245915155148</v>
      </c>
      <c r="AQ181" s="26"/>
      <c r="AV181" s="30"/>
    </row>
    <row r="182" spans="1:48" s="57" customFormat="1" hidden="1">
      <c r="A182" s="94"/>
      <c r="B182" s="94"/>
      <c r="C182" s="94" t="s">
        <v>151</v>
      </c>
      <c r="D182" s="94"/>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6"/>
      <c r="AQ182" s="95"/>
      <c r="AV182" s="4"/>
    </row>
    <row r="183" spans="1:48" s="57" customFormat="1" ht="30" hidden="1" customHeight="1">
      <c r="A183" s="134">
        <v>50</v>
      </c>
      <c r="B183" s="54">
        <f>+B179+1</f>
        <v>53</v>
      </c>
      <c r="C183" s="134" t="s">
        <v>152</v>
      </c>
      <c r="D183" s="54" t="s">
        <v>153</v>
      </c>
      <c r="E183" s="152" t="s">
        <v>35</v>
      </c>
      <c r="F183" s="56">
        <v>9354.0300000000007</v>
      </c>
      <c r="G183" s="56">
        <v>318461</v>
      </c>
      <c r="H183" s="47">
        <v>0</v>
      </c>
      <c r="I183" s="47">
        <v>0</v>
      </c>
      <c r="J183" s="47">
        <v>0</v>
      </c>
      <c r="K183" s="47">
        <v>0</v>
      </c>
      <c r="L183" s="83">
        <f t="shared" ref="L183:M185" si="84">F183+H183+J183</f>
        <v>9354.0300000000007</v>
      </c>
      <c r="M183" s="83">
        <f t="shared" si="84"/>
        <v>318461</v>
      </c>
      <c r="N183" s="56">
        <v>0</v>
      </c>
      <c r="O183" s="56">
        <v>0</v>
      </c>
      <c r="P183" s="56">
        <v>0</v>
      </c>
      <c r="Q183" s="56">
        <v>0</v>
      </c>
      <c r="R183" s="56">
        <v>0</v>
      </c>
      <c r="S183" s="56">
        <v>0</v>
      </c>
      <c r="T183" s="83">
        <f t="shared" ref="T183:U185" si="85">N183+P183+R183</f>
        <v>0</v>
      </c>
      <c r="U183" s="56">
        <f t="shared" si="85"/>
        <v>0</v>
      </c>
      <c r="V183" s="56">
        <v>0</v>
      </c>
      <c r="W183" s="56">
        <v>0</v>
      </c>
      <c r="X183" s="56">
        <v>0</v>
      </c>
      <c r="Y183" s="56">
        <v>0</v>
      </c>
      <c r="Z183" s="56">
        <v>0</v>
      </c>
      <c r="AA183" s="56">
        <v>0</v>
      </c>
      <c r="AB183" s="83">
        <f t="shared" ref="AB183:AC185" si="86">V183+X183+Z183</f>
        <v>0</v>
      </c>
      <c r="AC183" s="83">
        <f t="shared" si="86"/>
        <v>0</v>
      </c>
      <c r="AD183" s="56">
        <v>0</v>
      </c>
      <c r="AE183" s="56">
        <v>0</v>
      </c>
      <c r="AF183" s="56">
        <v>0</v>
      </c>
      <c r="AG183" s="56">
        <v>0</v>
      </c>
      <c r="AH183" s="56">
        <v>0</v>
      </c>
      <c r="AI183" s="56">
        <v>0</v>
      </c>
      <c r="AJ183" s="83">
        <f t="shared" ref="AJ183:AK185" si="87">AD183+AF183+AH183</f>
        <v>0</v>
      </c>
      <c r="AK183" s="83">
        <f t="shared" si="87"/>
        <v>0</v>
      </c>
      <c r="AL183" s="83">
        <f t="shared" ref="AL183:AM185" si="88">L183+T183+AB183+AJ183</f>
        <v>9354.0300000000007</v>
      </c>
      <c r="AM183" s="83">
        <f t="shared" si="88"/>
        <v>318461</v>
      </c>
      <c r="AN183" s="139">
        <v>678845</v>
      </c>
      <c r="AO183" s="83"/>
      <c r="AP183" s="92"/>
      <c r="AQ183" s="155"/>
      <c r="AV183" s="4"/>
    </row>
    <row r="184" spans="1:48" s="57" customFormat="1" hidden="1">
      <c r="A184" s="134"/>
      <c r="B184" s="54">
        <f>+B183+1</f>
        <v>54</v>
      </c>
      <c r="C184" s="134"/>
      <c r="D184" s="54" t="s">
        <v>154</v>
      </c>
      <c r="E184" s="153"/>
      <c r="F184" s="56">
        <v>7674.7659999999996</v>
      </c>
      <c r="G184" s="56">
        <v>363917</v>
      </c>
      <c r="H184" s="47">
        <v>0</v>
      </c>
      <c r="I184" s="47">
        <v>0</v>
      </c>
      <c r="J184" s="47">
        <v>0</v>
      </c>
      <c r="K184" s="47">
        <v>0</v>
      </c>
      <c r="L184" s="83">
        <f t="shared" si="84"/>
        <v>7674.7659999999996</v>
      </c>
      <c r="M184" s="83">
        <f t="shared" si="84"/>
        <v>363917</v>
      </c>
      <c r="N184" s="56">
        <v>0</v>
      </c>
      <c r="O184" s="56">
        <v>0</v>
      </c>
      <c r="P184" s="56">
        <v>0</v>
      </c>
      <c r="Q184" s="56">
        <v>0</v>
      </c>
      <c r="R184" s="56">
        <v>0</v>
      </c>
      <c r="S184" s="56">
        <v>0</v>
      </c>
      <c r="T184" s="83">
        <f t="shared" si="85"/>
        <v>0</v>
      </c>
      <c r="U184" s="56">
        <f t="shared" si="85"/>
        <v>0</v>
      </c>
      <c r="V184" s="56">
        <v>0</v>
      </c>
      <c r="W184" s="56">
        <v>0</v>
      </c>
      <c r="X184" s="56">
        <v>0</v>
      </c>
      <c r="Y184" s="56">
        <v>0</v>
      </c>
      <c r="Z184" s="56">
        <v>0</v>
      </c>
      <c r="AA184" s="56">
        <v>0</v>
      </c>
      <c r="AB184" s="83">
        <f t="shared" si="86"/>
        <v>0</v>
      </c>
      <c r="AC184" s="83">
        <f t="shared" si="86"/>
        <v>0</v>
      </c>
      <c r="AD184" s="56">
        <v>0</v>
      </c>
      <c r="AE184" s="56">
        <v>0</v>
      </c>
      <c r="AF184" s="56">
        <v>0</v>
      </c>
      <c r="AG184" s="56">
        <v>0</v>
      </c>
      <c r="AH184" s="56">
        <v>0</v>
      </c>
      <c r="AI184" s="56">
        <v>0</v>
      </c>
      <c r="AJ184" s="83">
        <f t="shared" si="87"/>
        <v>0</v>
      </c>
      <c r="AK184" s="83">
        <f t="shared" si="87"/>
        <v>0</v>
      </c>
      <c r="AL184" s="83">
        <f t="shared" si="88"/>
        <v>7674.7659999999996</v>
      </c>
      <c r="AM184" s="83">
        <f t="shared" si="88"/>
        <v>363917</v>
      </c>
      <c r="AN184" s="140"/>
      <c r="AO184" s="83"/>
      <c r="AP184" s="92"/>
      <c r="AQ184" s="155"/>
      <c r="AV184" s="4"/>
    </row>
    <row r="185" spans="1:48" s="57" customFormat="1" ht="20.25" hidden="1" customHeight="1">
      <c r="A185" s="134"/>
      <c r="B185" s="54">
        <f>+B184+1</f>
        <v>55</v>
      </c>
      <c r="C185" s="134"/>
      <c r="D185" s="54" t="s">
        <v>155</v>
      </c>
      <c r="E185" s="154"/>
      <c r="F185" s="56">
        <v>4709.3879999999999</v>
      </c>
      <c r="G185" s="56">
        <v>278345</v>
      </c>
      <c r="H185" s="47">
        <v>0</v>
      </c>
      <c r="I185" s="47">
        <v>0</v>
      </c>
      <c r="J185" s="47">
        <v>0</v>
      </c>
      <c r="K185" s="47">
        <v>0</v>
      </c>
      <c r="L185" s="83">
        <f t="shared" si="84"/>
        <v>4709.3879999999999</v>
      </c>
      <c r="M185" s="83">
        <f t="shared" si="84"/>
        <v>278345</v>
      </c>
      <c r="N185" s="56">
        <v>0</v>
      </c>
      <c r="O185" s="56">
        <v>0</v>
      </c>
      <c r="P185" s="56">
        <v>0</v>
      </c>
      <c r="Q185" s="56">
        <v>0</v>
      </c>
      <c r="R185" s="56">
        <v>0</v>
      </c>
      <c r="S185" s="56">
        <v>0</v>
      </c>
      <c r="T185" s="83">
        <f t="shared" si="85"/>
        <v>0</v>
      </c>
      <c r="U185" s="56">
        <f t="shared" si="85"/>
        <v>0</v>
      </c>
      <c r="V185" s="56">
        <v>0</v>
      </c>
      <c r="W185" s="56">
        <v>0</v>
      </c>
      <c r="X185" s="56">
        <v>0</v>
      </c>
      <c r="Y185" s="56">
        <v>0</v>
      </c>
      <c r="Z185" s="56">
        <v>0</v>
      </c>
      <c r="AA185" s="56">
        <v>0</v>
      </c>
      <c r="AB185" s="83">
        <f t="shared" si="86"/>
        <v>0</v>
      </c>
      <c r="AC185" s="83">
        <f t="shared" si="86"/>
        <v>0</v>
      </c>
      <c r="AD185" s="56">
        <v>0</v>
      </c>
      <c r="AE185" s="56">
        <v>0</v>
      </c>
      <c r="AF185" s="56">
        <v>0</v>
      </c>
      <c r="AG185" s="56">
        <v>0</v>
      </c>
      <c r="AH185" s="56">
        <v>0</v>
      </c>
      <c r="AI185" s="56">
        <v>0</v>
      </c>
      <c r="AJ185" s="83">
        <f t="shared" si="87"/>
        <v>0</v>
      </c>
      <c r="AK185" s="83">
        <f t="shared" si="87"/>
        <v>0</v>
      </c>
      <c r="AL185" s="83">
        <f t="shared" si="88"/>
        <v>4709.3879999999999</v>
      </c>
      <c r="AM185" s="83">
        <f t="shared" si="88"/>
        <v>278345</v>
      </c>
      <c r="AN185" s="141"/>
      <c r="AO185" s="83"/>
      <c r="AP185" s="92"/>
      <c r="AQ185" s="155"/>
      <c r="AV185" s="4"/>
    </row>
    <row r="186" spans="1:48" s="63" customFormat="1" ht="15.75" hidden="1" customHeight="1">
      <c r="A186" s="59"/>
      <c r="B186" s="59"/>
      <c r="C186" s="59" t="s">
        <v>37</v>
      </c>
      <c r="D186" s="59"/>
      <c r="E186" s="60"/>
      <c r="F186" s="60">
        <f t="shared" ref="F186:AM186" si="89">SUM(F183:F185)</f>
        <v>21738.184000000001</v>
      </c>
      <c r="G186" s="60">
        <f t="shared" si="89"/>
        <v>960723</v>
      </c>
      <c r="H186" s="60">
        <f t="shared" si="89"/>
        <v>0</v>
      </c>
      <c r="I186" s="60">
        <f t="shared" si="89"/>
        <v>0</v>
      </c>
      <c r="J186" s="60">
        <f t="shared" si="89"/>
        <v>0</v>
      </c>
      <c r="K186" s="60">
        <f t="shared" si="89"/>
        <v>0</v>
      </c>
      <c r="L186" s="60">
        <f t="shared" si="89"/>
        <v>21738.184000000001</v>
      </c>
      <c r="M186" s="60">
        <f t="shared" si="89"/>
        <v>960723</v>
      </c>
      <c r="N186" s="60">
        <f t="shared" si="89"/>
        <v>0</v>
      </c>
      <c r="O186" s="60">
        <f t="shared" si="89"/>
        <v>0</v>
      </c>
      <c r="P186" s="60">
        <f t="shared" si="89"/>
        <v>0</v>
      </c>
      <c r="Q186" s="60">
        <f t="shared" si="89"/>
        <v>0</v>
      </c>
      <c r="R186" s="60">
        <f t="shared" si="89"/>
        <v>0</v>
      </c>
      <c r="S186" s="60">
        <f t="shared" si="89"/>
        <v>0</v>
      </c>
      <c r="T186" s="60">
        <f t="shared" si="89"/>
        <v>0</v>
      </c>
      <c r="U186" s="60">
        <f t="shared" si="89"/>
        <v>0</v>
      </c>
      <c r="V186" s="60">
        <f t="shared" si="89"/>
        <v>0</v>
      </c>
      <c r="W186" s="60">
        <f t="shared" si="89"/>
        <v>0</v>
      </c>
      <c r="X186" s="60">
        <f t="shared" si="89"/>
        <v>0</v>
      </c>
      <c r="Y186" s="60">
        <f t="shared" si="89"/>
        <v>0</v>
      </c>
      <c r="Z186" s="60">
        <f t="shared" si="89"/>
        <v>0</v>
      </c>
      <c r="AA186" s="60">
        <f t="shared" si="89"/>
        <v>0</v>
      </c>
      <c r="AB186" s="60">
        <f t="shared" si="89"/>
        <v>0</v>
      </c>
      <c r="AC186" s="60">
        <f t="shared" si="89"/>
        <v>0</v>
      </c>
      <c r="AD186" s="60">
        <f t="shared" si="89"/>
        <v>0</v>
      </c>
      <c r="AE186" s="60">
        <f t="shared" si="89"/>
        <v>0</v>
      </c>
      <c r="AF186" s="60">
        <f t="shared" si="89"/>
        <v>0</v>
      </c>
      <c r="AG186" s="60">
        <f t="shared" si="89"/>
        <v>0</v>
      </c>
      <c r="AH186" s="60">
        <f t="shared" si="89"/>
        <v>0</v>
      </c>
      <c r="AI186" s="60">
        <f t="shared" si="89"/>
        <v>0</v>
      </c>
      <c r="AJ186" s="60">
        <f t="shared" si="89"/>
        <v>0</v>
      </c>
      <c r="AK186" s="60">
        <f t="shared" si="89"/>
        <v>0</v>
      </c>
      <c r="AL186" s="60">
        <f t="shared" si="89"/>
        <v>21738.184000000001</v>
      </c>
      <c r="AM186" s="60">
        <f t="shared" si="89"/>
        <v>960723</v>
      </c>
      <c r="AN186" s="27">
        <v>780930</v>
      </c>
      <c r="AO186" s="27">
        <f>AN186/12*$AO$8</f>
        <v>260310</v>
      </c>
      <c r="AP186" s="28">
        <f>AL186/AO186</f>
        <v>8.3508831777496073E-2</v>
      </c>
      <c r="AQ186" s="60"/>
      <c r="AV186" s="30"/>
    </row>
    <row r="187" spans="1:48" s="57" customFormat="1">
      <c r="A187" s="54"/>
      <c r="B187" s="54"/>
      <c r="C187" s="94" t="s">
        <v>156</v>
      </c>
      <c r="D187" s="54"/>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6"/>
      <c r="AQ187" s="95"/>
      <c r="AV187" s="4"/>
    </row>
    <row r="188" spans="1:48" s="57" customFormat="1" ht="20.25" customHeight="1">
      <c r="A188" s="145">
        <f>A179+1</f>
        <v>48</v>
      </c>
      <c r="B188" s="145">
        <v>53</v>
      </c>
      <c r="C188" s="145" t="s">
        <v>157</v>
      </c>
      <c r="D188" s="145" t="s">
        <v>158</v>
      </c>
      <c r="E188" s="39" t="s">
        <v>35</v>
      </c>
      <c r="F188" s="22">
        <v>4254.7219999999998</v>
      </c>
      <c r="G188" s="22">
        <v>115957</v>
      </c>
      <c r="H188" s="22">
        <v>3834.884</v>
      </c>
      <c r="I188" s="22">
        <v>126769</v>
      </c>
      <c r="J188" s="22">
        <v>3940.4090000000001</v>
      </c>
      <c r="K188" s="22">
        <v>102464</v>
      </c>
      <c r="L188" s="21">
        <f>F188+H188+J188</f>
        <v>12030.014999999999</v>
      </c>
      <c r="M188" s="21">
        <f>G188+I188+K188</f>
        <v>345190</v>
      </c>
      <c r="N188" s="22">
        <v>3876.7159999999999</v>
      </c>
      <c r="O188" s="22">
        <v>104097</v>
      </c>
      <c r="P188" s="22">
        <v>3939.4279999999999</v>
      </c>
      <c r="Q188" s="22">
        <v>101503</v>
      </c>
      <c r="R188" s="22">
        <v>3599.0059999999999</v>
      </c>
      <c r="S188" s="22">
        <v>95099</v>
      </c>
      <c r="T188" s="21">
        <f>N188+P188+R188</f>
        <v>11415.15</v>
      </c>
      <c r="U188" s="22">
        <f>O188+Q188+S188</f>
        <v>300699</v>
      </c>
      <c r="V188" s="22">
        <v>3489.0459999999998</v>
      </c>
      <c r="W188" s="22">
        <v>93400</v>
      </c>
      <c r="X188" s="22"/>
      <c r="Y188" s="22"/>
      <c r="Z188" s="22"/>
      <c r="AA188" s="22"/>
      <c r="AB188" s="21">
        <f>V188+X188+Z188</f>
        <v>3489.0459999999998</v>
      </c>
      <c r="AC188" s="21">
        <f>W188+Y188+AA188</f>
        <v>93400</v>
      </c>
      <c r="AD188" s="112"/>
      <c r="AE188" s="112"/>
      <c r="AF188" s="112"/>
      <c r="AG188" s="112"/>
      <c r="AH188" s="112"/>
      <c r="AI188" s="112"/>
      <c r="AJ188" s="21">
        <f>AD188+AF188+AH188</f>
        <v>0</v>
      </c>
      <c r="AK188" s="21">
        <f>AE188+AG188+AI188</f>
        <v>0</v>
      </c>
      <c r="AL188" s="21">
        <f>L188+T188+AB188+AJ188</f>
        <v>26934.210999999999</v>
      </c>
      <c r="AM188" s="21">
        <f>M188+U188+AC188+AK188</f>
        <v>739289</v>
      </c>
      <c r="AN188" s="149"/>
      <c r="AO188" s="149"/>
      <c r="AP188" s="130"/>
      <c r="AQ188" s="132"/>
      <c r="AV188" s="4"/>
    </row>
    <row r="189" spans="1:48" s="57" customFormat="1" ht="20.25" customHeight="1">
      <c r="A189" s="145"/>
      <c r="B189" s="145"/>
      <c r="C189" s="145"/>
      <c r="D189" s="145"/>
      <c r="E189" s="39" t="s">
        <v>36</v>
      </c>
      <c r="F189" s="22">
        <v>20416.335999999999</v>
      </c>
      <c r="G189" s="22">
        <v>580814</v>
      </c>
      <c r="H189" s="22">
        <v>19583.121999999999</v>
      </c>
      <c r="I189" s="22">
        <v>589971</v>
      </c>
      <c r="J189" s="22">
        <v>20355.939999999999</v>
      </c>
      <c r="K189" s="22">
        <v>575444</v>
      </c>
      <c r="L189" s="21">
        <f>F189+H189+J189</f>
        <v>60355.398000000001</v>
      </c>
      <c r="M189" s="21">
        <f>G189+I189+K189</f>
        <v>1746229</v>
      </c>
      <c r="N189" s="22">
        <v>19144.365000000002</v>
      </c>
      <c r="O189" s="22">
        <v>555973</v>
      </c>
      <c r="P189" s="22">
        <v>19870.86</v>
      </c>
      <c r="Q189" s="22">
        <v>563732</v>
      </c>
      <c r="R189" s="22">
        <v>19783.59</v>
      </c>
      <c r="S189" s="22">
        <v>570653</v>
      </c>
      <c r="T189" s="21">
        <f>N189+P189+R189</f>
        <v>58798.815000000002</v>
      </c>
      <c r="U189" s="22">
        <f>O189+Q189+S189</f>
        <v>1690358</v>
      </c>
      <c r="V189" s="22">
        <v>20028.487000000001</v>
      </c>
      <c r="W189" s="22">
        <v>581650</v>
      </c>
      <c r="X189" s="22"/>
      <c r="Y189" s="22"/>
      <c r="Z189" s="22"/>
      <c r="AA189" s="22"/>
      <c r="AB189" s="21">
        <f>V189+X189+Z189</f>
        <v>20028.487000000001</v>
      </c>
      <c r="AC189" s="21">
        <f>W189+Y189+AA189</f>
        <v>581650</v>
      </c>
      <c r="AD189" s="22"/>
      <c r="AE189" s="22"/>
      <c r="AF189" s="22"/>
      <c r="AG189" s="22"/>
      <c r="AH189" s="22"/>
      <c r="AI189" s="22"/>
      <c r="AJ189" s="21">
        <f>AD189+AF189+AH189</f>
        <v>0</v>
      </c>
      <c r="AK189" s="21">
        <f>AE189+AG189+AI189</f>
        <v>0</v>
      </c>
      <c r="AL189" s="21">
        <f>L189+T189+AB189+AJ189</f>
        <v>139182.70000000001</v>
      </c>
      <c r="AM189" s="21">
        <f>M189+U189+AC189+AK189</f>
        <v>4018237</v>
      </c>
      <c r="AN189" s="150"/>
      <c r="AO189" s="150"/>
      <c r="AP189" s="131"/>
      <c r="AQ189" s="133"/>
      <c r="AV189" s="4"/>
    </row>
    <row r="190" spans="1:48" s="63" customFormat="1" ht="14.25">
      <c r="A190" s="146"/>
      <c r="B190" s="146"/>
      <c r="C190" s="25" t="s">
        <v>37</v>
      </c>
      <c r="D190" s="25"/>
      <c r="E190" s="71"/>
      <c r="F190" s="71">
        <f t="shared" ref="F190:AM190" si="90">SUM(F188:F189)</f>
        <v>24671.057999999997</v>
      </c>
      <c r="G190" s="71">
        <f t="shared" si="90"/>
        <v>696771</v>
      </c>
      <c r="H190" s="71">
        <f t="shared" si="90"/>
        <v>23418.006000000001</v>
      </c>
      <c r="I190" s="71">
        <f t="shared" si="90"/>
        <v>716740</v>
      </c>
      <c r="J190" s="71">
        <f t="shared" si="90"/>
        <v>24296.348999999998</v>
      </c>
      <c r="K190" s="71">
        <f t="shared" si="90"/>
        <v>677908</v>
      </c>
      <c r="L190" s="71">
        <f t="shared" si="90"/>
        <v>72385.413</v>
      </c>
      <c r="M190" s="71">
        <f t="shared" si="90"/>
        <v>2091419</v>
      </c>
      <c r="N190" s="71">
        <f t="shared" si="90"/>
        <v>23021.081000000002</v>
      </c>
      <c r="O190" s="71">
        <f t="shared" si="90"/>
        <v>660070</v>
      </c>
      <c r="P190" s="71">
        <f t="shared" si="90"/>
        <v>23810.288</v>
      </c>
      <c r="Q190" s="71">
        <f t="shared" si="90"/>
        <v>665235</v>
      </c>
      <c r="R190" s="71">
        <f t="shared" si="90"/>
        <v>23382.596000000001</v>
      </c>
      <c r="S190" s="71">
        <f t="shared" si="90"/>
        <v>665752</v>
      </c>
      <c r="T190" s="71">
        <f t="shared" si="90"/>
        <v>70213.964999999997</v>
      </c>
      <c r="U190" s="71">
        <f t="shared" si="90"/>
        <v>1991057</v>
      </c>
      <c r="V190" s="71">
        <f t="shared" si="90"/>
        <v>23517.532999999999</v>
      </c>
      <c r="W190" s="71">
        <f t="shared" si="90"/>
        <v>675050</v>
      </c>
      <c r="X190" s="71">
        <f t="shared" si="90"/>
        <v>0</v>
      </c>
      <c r="Y190" s="71">
        <f t="shared" si="90"/>
        <v>0</v>
      </c>
      <c r="Z190" s="71">
        <f t="shared" si="90"/>
        <v>0</v>
      </c>
      <c r="AA190" s="71">
        <f t="shared" si="90"/>
        <v>0</v>
      </c>
      <c r="AB190" s="71">
        <f t="shared" si="90"/>
        <v>23517.532999999999</v>
      </c>
      <c r="AC190" s="71">
        <f t="shared" si="90"/>
        <v>675050</v>
      </c>
      <c r="AD190" s="71">
        <f t="shared" si="90"/>
        <v>0</v>
      </c>
      <c r="AE190" s="71">
        <f t="shared" si="90"/>
        <v>0</v>
      </c>
      <c r="AF190" s="71">
        <f t="shared" si="90"/>
        <v>0</v>
      </c>
      <c r="AG190" s="71">
        <f t="shared" si="90"/>
        <v>0</v>
      </c>
      <c r="AH190" s="71">
        <f t="shared" si="90"/>
        <v>0</v>
      </c>
      <c r="AI190" s="71">
        <f t="shared" si="90"/>
        <v>0</v>
      </c>
      <c r="AJ190" s="71">
        <f t="shared" si="90"/>
        <v>0</v>
      </c>
      <c r="AK190" s="71">
        <f t="shared" si="90"/>
        <v>0</v>
      </c>
      <c r="AL190" s="71">
        <f t="shared" si="90"/>
        <v>166116.91100000002</v>
      </c>
      <c r="AM190" s="71">
        <f t="shared" si="90"/>
        <v>4757526</v>
      </c>
      <c r="AN190" s="27">
        <v>330656</v>
      </c>
      <c r="AO190" s="27">
        <f>AN190/12*$AO$8</f>
        <v>110218.66666666667</v>
      </c>
      <c r="AP190" s="28">
        <f>AL190/AO190</f>
        <v>1.5071576895625667</v>
      </c>
      <c r="AQ190" s="26"/>
      <c r="AV190" s="30"/>
    </row>
    <row r="191" spans="1:48" s="57" customFormat="1" ht="39" customHeight="1">
      <c r="A191" s="134">
        <f>+A188+1</f>
        <v>49</v>
      </c>
      <c r="B191" s="134">
        <f>+B188+1</f>
        <v>54</v>
      </c>
      <c r="C191" s="134" t="s">
        <v>159</v>
      </c>
      <c r="D191" s="134" t="s">
        <v>160</v>
      </c>
      <c r="E191" s="82" t="s">
        <v>35</v>
      </c>
      <c r="F191" s="83">
        <v>2539.3710000000001</v>
      </c>
      <c r="G191" s="83">
        <v>40813</v>
      </c>
      <c r="H191" s="83">
        <v>2255.2109999999998</v>
      </c>
      <c r="I191" s="83">
        <v>197393</v>
      </c>
      <c r="J191" s="83">
        <v>2351.85</v>
      </c>
      <c r="K191" s="83">
        <v>37565</v>
      </c>
      <c r="L191" s="83">
        <f>F191+H191+J191</f>
        <v>7146.4320000000007</v>
      </c>
      <c r="M191" s="83">
        <f>G191+I191+K191</f>
        <v>275771</v>
      </c>
      <c r="N191" s="83">
        <v>2243.5500000000002</v>
      </c>
      <c r="O191" s="83">
        <v>36718</v>
      </c>
      <c r="P191" s="83">
        <v>2321.5039999999999</v>
      </c>
      <c r="Q191" s="83">
        <v>38076</v>
      </c>
      <c r="R191" s="83">
        <v>2312.4679999999998</v>
      </c>
      <c r="S191" s="83">
        <v>38488</v>
      </c>
      <c r="T191" s="83">
        <f>N191+P191+R191</f>
        <v>6877.5219999999999</v>
      </c>
      <c r="U191" s="56">
        <f>O191+Q191+S191</f>
        <v>113282</v>
      </c>
      <c r="V191" s="83">
        <v>2276.509</v>
      </c>
      <c r="W191" s="83">
        <v>38095</v>
      </c>
      <c r="X191" s="83"/>
      <c r="Y191" s="83"/>
      <c r="Z191" s="83"/>
      <c r="AA191" s="83"/>
      <c r="AB191" s="83">
        <f>V191+X191+Z191</f>
        <v>2276.509</v>
      </c>
      <c r="AC191" s="83">
        <f>W191+Y191+AA191</f>
        <v>38095</v>
      </c>
      <c r="AD191" s="113"/>
      <c r="AE191" s="113"/>
      <c r="AF191" s="113"/>
      <c r="AG191" s="113"/>
      <c r="AH191" s="113"/>
      <c r="AI191" s="113"/>
      <c r="AJ191" s="83">
        <f>AD191+AF191+AH191</f>
        <v>0</v>
      </c>
      <c r="AK191" s="83">
        <f>AE191+AG191+AI191</f>
        <v>0</v>
      </c>
      <c r="AL191" s="83">
        <f>L191+T191+AB191+AJ191</f>
        <v>16300.463000000002</v>
      </c>
      <c r="AM191" s="83">
        <f>M191+U191+AC191+AK191</f>
        <v>427148</v>
      </c>
      <c r="AN191" s="136"/>
      <c r="AO191" s="84"/>
      <c r="AP191" s="142"/>
      <c r="AQ191" s="139"/>
      <c r="AV191" s="4"/>
    </row>
    <row r="192" spans="1:48" s="57" customFormat="1" ht="39" customHeight="1">
      <c r="A192" s="134"/>
      <c r="B192" s="134"/>
      <c r="C192" s="134"/>
      <c r="D192" s="134"/>
      <c r="E192" s="82" t="s">
        <v>36</v>
      </c>
      <c r="F192" s="83">
        <v>9686.9570000000003</v>
      </c>
      <c r="G192" s="83">
        <v>180979</v>
      </c>
      <c r="H192" s="83">
        <v>9971.9770000000008</v>
      </c>
      <c r="I192" s="83">
        <v>39468</v>
      </c>
      <c r="J192" s="83">
        <v>10186.123</v>
      </c>
      <c r="K192" s="83">
        <v>186477</v>
      </c>
      <c r="L192" s="83">
        <f>F192+H192+J192</f>
        <v>29845.057000000001</v>
      </c>
      <c r="M192" s="83">
        <f>G192+I192+K192</f>
        <v>406924</v>
      </c>
      <c r="N192" s="83">
        <v>10036.316000000001</v>
      </c>
      <c r="O192" s="83">
        <v>186375</v>
      </c>
      <c r="P192" s="83">
        <v>9839.8449999999993</v>
      </c>
      <c r="Q192" s="83">
        <v>179546</v>
      </c>
      <c r="R192" s="83">
        <v>10013.14</v>
      </c>
      <c r="S192" s="83">
        <v>187434</v>
      </c>
      <c r="T192" s="83">
        <f>N192+P192+R192</f>
        <v>29889.300999999999</v>
      </c>
      <c r="U192" s="56">
        <f>O192+Q192+S192</f>
        <v>553355</v>
      </c>
      <c r="V192" s="83">
        <v>10153.313</v>
      </c>
      <c r="W192" s="83">
        <v>189420</v>
      </c>
      <c r="X192" s="83"/>
      <c r="Y192" s="83"/>
      <c r="Z192" s="83"/>
      <c r="AA192" s="83"/>
      <c r="AB192" s="83">
        <f>V192+X192+Z192</f>
        <v>10153.313</v>
      </c>
      <c r="AC192" s="83">
        <f>W192+Y192+AA192</f>
        <v>189420</v>
      </c>
      <c r="AD192" s="83"/>
      <c r="AE192" s="83"/>
      <c r="AF192" s="83"/>
      <c r="AG192" s="83"/>
      <c r="AH192" s="83"/>
      <c r="AI192" s="83"/>
      <c r="AJ192" s="83">
        <f>AD192+AF192+AH192</f>
        <v>0</v>
      </c>
      <c r="AK192" s="83">
        <f>AE192+AG192+AI192</f>
        <v>0</v>
      </c>
      <c r="AL192" s="83">
        <f>L192+T192+AB192+AJ192</f>
        <v>69887.671000000002</v>
      </c>
      <c r="AM192" s="83">
        <f>M192+U192+AC192+AK192</f>
        <v>1149699</v>
      </c>
      <c r="AN192" s="138"/>
      <c r="AO192" s="85"/>
      <c r="AP192" s="144"/>
      <c r="AQ192" s="141"/>
      <c r="AV192" s="4"/>
    </row>
    <row r="193" spans="1:48" s="63" customFormat="1" ht="13.5" customHeight="1">
      <c r="A193" s="135"/>
      <c r="B193" s="135"/>
      <c r="C193" s="59" t="s">
        <v>37</v>
      </c>
      <c r="D193" s="59"/>
      <c r="E193" s="62"/>
      <c r="F193" s="62">
        <f t="shared" ref="F193:AM193" si="91">SUM(F191:F192)</f>
        <v>12226.328000000001</v>
      </c>
      <c r="G193" s="62">
        <f t="shared" si="91"/>
        <v>221792</v>
      </c>
      <c r="H193" s="62">
        <f t="shared" si="91"/>
        <v>12227.188</v>
      </c>
      <c r="I193" s="62">
        <f t="shared" si="91"/>
        <v>236861</v>
      </c>
      <c r="J193" s="62">
        <f t="shared" si="91"/>
        <v>12537.973</v>
      </c>
      <c r="K193" s="62">
        <f t="shared" si="91"/>
        <v>224042</v>
      </c>
      <c r="L193" s="62">
        <f t="shared" si="91"/>
        <v>36991.489000000001</v>
      </c>
      <c r="M193" s="62">
        <f t="shared" si="91"/>
        <v>682695</v>
      </c>
      <c r="N193" s="62">
        <f t="shared" si="91"/>
        <v>12279.866000000002</v>
      </c>
      <c r="O193" s="62">
        <f t="shared" si="91"/>
        <v>223093</v>
      </c>
      <c r="P193" s="62">
        <f t="shared" si="91"/>
        <v>12161.348999999998</v>
      </c>
      <c r="Q193" s="62">
        <f t="shared" si="91"/>
        <v>217622</v>
      </c>
      <c r="R193" s="62">
        <f t="shared" si="91"/>
        <v>12325.608</v>
      </c>
      <c r="S193" s="62">
        <f t="shared" si="91"/>
        <v>225922</v>
      </c>
      <c r="T193" s="62">
        <f t="shared" si="91"/>
        <v>36766.822999999997</v>
      </c>
      <c r="U193" s="62">
        <f t="shared" si="91"/>
        <v>666637</v>
      </c>
      <c r="V193" s="62">
        <f t="shared" si="91"/>
        <v>12429.822</v>
      </c>
      <c r="W193" s="62">
        <f t="shared" si="91"/>
        <v>227515</v>
      </c>
      <c r="X193" s="62">
        <f t="shared" si="91"/>
        <v>0</v>
      </c>
      <c r="Y193" s="62">
        <f t="shared" si="91"/>
        <v>0</v>
      </c>
      <c r="Z193" s="62">
        <f t="shared" si="91"/>
        <v>0</v>
      </c>
      <c r="AA193" s="62">
        <f t="shared" si="91"/>
        <v>0</v>
      </c>
      <c r="AB193" s="62">
        <f t="shared" si="91"/>
        <v>12429.822</v>
      </c>
      <c r="AC193" s="62">
        <f t="shared" si="91"/>
        <v>227515</v>
      </c>
      <c r="AD193" s="62">
        <f t="shared" si="91"/>
        <v>0</v>
      </c>
      <c r="AE193" s="62">
        <f t="shared" si="91"/>
        <v>0</v>
      </c>
      <c r="AF193" s="62">
        <f t="shared" si="91"/>
        <v>0</v>
      </c>
      <c r="AG193" s="62">
        <f t="shared" si="91"/>
        <v>0</v>
      </c>
      <c r="AH193" s="62">
        <f t="shared" si="91"/>
        <v>0</v>
      </c>
      <c r="AI193" s="62">
        <f t="shared" si="91"/>
        <v>0</v>
      </c>
      <c r="AJ193" s="62">
        <f t="shared" si="91"/>
        <v>0</v>
      </c>
      <c r="AK193" s="62">
        <f t="shared" si="91"/>
        <v>0</v>
      </c>
      <c r="AL193" s="62">
        <f t="shared" si="91"/>
        <v>86188.134000000005</v>
      </c>
      <c r="AM193" s="62">
        <f t="shared" si="91"/>
        <v>1576847</v>
      </c>
      <c r="AN193" s="27">
        <v>203046</v>
      </c>
      <c r="AO193" s="27">
        <f>AN193/12*$AO$8</f>
        <v>67682</v>
      </c>
      <c r="AP193" s="28">
        <f>AL193/AO193</f>
        <v>1.2734277060370558</v>
      </c>
      <c r="AQ193" s="62"/>
      <c r="AV193" s="30"/>
    </row>
    <row r="194" spans="1:48" s="57" customFormat="1">
      <c r="A194" s="54"/>
      <c r="B194" s="54"/>
      <c r="C194" s="94" t="s">
        <v>161</v>
      </c>
      <c r="D194" s="54"/>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6"/>
      <c r="AQ194" s="95"/>
      <c r="AV194" s="4"/>
    </row>
    <row r="195" spans="1:48" s="57" customFormat="1" ht="37.5" customHeight="1">
      <c r="A195" s="145">
        <f>+A191+1</f>
        <v>50</v>
      </c>
      <c r="B195" s="147">
        <v>55</v>
      </c>
      <c r="C195" s="145" t="s">
        <v>162</v>
      </c>
      <c r="D195" s="145" t="s">
        <v>163</v>
      </c>
      <c r="E195" s="39" t="s">
        <v>35</v>
      </c>
      <c r="F195" s="22">
        <v>1790.6369999999999</v>
      </c>
      <c r="G195" s="22">
        <v>35585</v>
      </c>
      <c r="H195" s="22">
        <v>1670.69</v>
      </c>
      <c r="I195" s="22">
        <v>34856</v>
      </c>
      <c r="J195" s="22">
        <v>1716.883</v>
      </c>
      <c r="K195" s="22">
        <v>33223</v>
      </c>
      <c r="L195" s="21">
        <f>F195+H195+J195</f>
        <v>5178.21</v>
      </c>
      <c r="M195" s="21">
        <f>G195+I195+K195</f>
        <v>103664</v>
      </c>
      <c r="N195" s="22">
        <v>1920.981</v>
      </c>
      <c r="O195" s="22">
        <v>37689</v>
      </c>
      <c r="P195" s="22">
        <v>1950.0820000000001</v>
      </c>
      <c r="Q195" s="22">
        <v>38817</v>
      </c>
      <c r="R195" s="22">
        <v>1769.8</v>
      </c>
      <c r="S195" s="22">
        <v>36041</v>
      </c>
      <c r="T195" s="21">
        <f>N195+P195+R195</f>
        <v>5640.8630000000003</v>
      </c>
      <c r="U195" s="22">
        <f>O195+Q195+S195</f>
        <v>112547</v>
      </c>
      <c r="V195" s="22">
        <v>2276.509</v>
      </c>
      <c r="W195" s="22">
        <v>38095</v>
      </c>
      <c r="X195" s="22"/>
      <c r="Y195" s="22"/>
      <c r="Z195" s="22"/>
      <c r="AA195" s="22"/>
      <c r="AB195" s="21">
        <f>V195+X195+Z195</f>
        <v>2276.509</v>
      </c>
      <c r="AC195" s="21">
        <f>W195+Y195+AA195</f>
        <v>38095</v>
      </c>
      <c r="AD195" s="22"/>
      <c r="AE195" s="22"/>
      <c r="AF195" s="22"/>
      <c r="AG195" s="22"/>
      <c r="AH195" s="112"/>
      <c r="AI195" s="112"/>
      <c r="AJ195" s="21">
        <f>AD195+AF195+AH195</f>
        <v>0</v>
      </c>
      <c r="AK195" s="21">
        <f>AE195+AG195+AI195</f>
        <v>0</v>
      </c>
      <c r="AL195" s="21">
        <f>L195+T195+AB195+AJ195</f>
        <v>13095.582</v>
      </c>
      <c r="AM195" s="21">
        <f>M195+U195+AC195+AK195</f>
        <v>254306</v>
      </c>
      <c r="AN195" s="149"/>
      <c r="AO195" s="132"/>
      <c r="AP195" s="130"/>
      <c r="AQ195" s="132"/>
      <c r="AV195" s="4"/>
    </row>
    <row r="196" spans="1:48" s="57" customFormat="1" ht="37.5" customHeight="1">
      <c r="A196" s="145"/>
      <c r="B196" s="147"/>
      <c r="C196" s="145"/>
      <c r="D196" s="145"/>
      <c r="E196" s="39" t="s">
        <v>36</v>
      </c>
      <c r="F196" s="22">
        <v>8669.884</v>
      </c>
      <c r="G196" s="22">
        <v>202822</v>
      </c>
      <c r="H196" s="22">
        <v>8996.5589999999993</v>
      </c>
      <c r="I196" s="22">
        <v>209050</v>
      </c>
      <c r="J196" s="22">
        <v>9362.893</v>
      </c>
      <c r="K196" s="22">
        <v>217648</v>
      </c>
      <c r="L196" s="21">
        <f>F196+H196+J196</f>
        <v>27029.335999999999</v>
      </c>
      <c r="M196" s="21">
        <f>G196+I196+K196</f>
        <v>629520</v>
      </c>
      <c r="N196" s="22">
        <v>8689.0820000000003</v>
      </c>
      <c r="O196" s="22">
        <v>202316</v>
      </c>
      <c r="P196" s="22">
        <v>8816.2810000000009</v>
      </c>
      <c r="Q196" s="22">
        <v>196320</v>
      </c>
      <c r="R196" s="22">
        <v>8321.2710000000006</v>
      </c>
      <c r="S196" s="22">
        <v>190371</v>
      </c>
      <c r="T196" s="21">
        <f>N196+P196+R196</f>
        <v>25826.634000000002</v>
      </c>
      <c r="U196" s="22">
        <f>O196+Q196+S196</f>
        <v>589007</v>
      </c>
      <c r="V196" s="22">
        <v>10153.313</v>
      </c>
      <c r="W196" s="22">
        <v>189420</v>
      </c>
      <c r="X196" s="22"/>
      <c r="Y196" s="22"/>
      <c r="Z196" s="22"/>
      <c r="AA196" s="22"/>
      <c r="AB196" s="21">
        <f>V196+X196+Z196</f>
        <v>10153.313</v>
      </c>
      <c r="AC196" s="21">
        <f>W196+Y196+AA196</f>
        <v>189420</v>
      </c>
      <c r="AD196" s="22"/>
      <c r="AE196" s="22"/>
      <c r="AF196" s="22"/>
      <c r="AG196" s="22"/>
      <c r="AH196" s="22"/>
      <c r="AI196" s="22"/>
      <c r="AJ196" s="21">
        <f>AD196+AF196+AH196</f>
        <v>0</v>
      </c>
      <c r="AK196" s="21">
        <f>AE196+AG196+AI196</f>
        <v>0</v>
      </c>
      <c r="AL196" s="21">
        <f>L196+T196+AB196+AJ196</f>
        <v>63009.283000000003</v>
      </c>
      <c r="AM196" s="21">
        <f>M196+U196+AC196+AK196</f>
        <v>1407947</v>
      </c>
      <c r="AN196" s="150"/>
      <c r="AO196" s="133"/>
      <c r="AP196" s="131"/>
      <c r="AQ196" s="133"/>
      <c r="AV196" s="4"/>
    </row>
    <row r="197" spans="1:48" s="100" customFormat="1">
      <c r="A197" s="146"/>
      <c r="B197" s="148"/>
      <c r="C197" s="25" t="s">
        <v>37</v>
      </c>
      <c r="D197" s="24"/>
      <c r="E197" s="50"/>
      <c r="F197" s="71">
        <f t="shared" ref="F197:AM197" si="92">SUM(F195:F196)</f>
        <v>10460.521000000001</v>
      </c>
      <c r="G197" s="71">
        <f t="shared" si="92"/>
        <v>238407</v>
      </c>
      <c r="H197" s="71">
        <f t="shared" si="92"/>
        <v>10667.249</v>
      </c>
      <c r="I197" s="71">
        <f t="shared" si="92"/>
        <v>243906</v>
      </c>
      <c r="J197" s="71">
        <f t="shared" si="92"/>
        <v>11079.776</v>
      </c>
      <c r="K197" s="71">
        <f t="shared" si="92"/>
        <v>250871</v>
      </c>
      <c r="L197" s="71">
        <f t="shared" si="92"/>
        <v>32207.545999999998</v>
      </c>
      <c r="M197" s="71">
        <f t="shared" si="92"/>
        <v>733184</v>
      </c>
      <c r="N197" s="71">
        <f t="shared" si="92"/>
        <v>10610.063</v>
      </c>
      <c r="O197" s="71">
        <f t="shared" si="92"/>
        <v>240005</v>
      </c>
      <c r="P197" s="71">
        <f t="shared" si="92"/>
        <v>10766.363000000001</v>
      </c>
      <c r="Q197" s="71">
        <f t="shared" si="92"/>
        <v>235137</v>
      </c>
      <c r="R197" s="71">
        <f t="shared" si="92"/>
        <v>10091.071</v>
      </c>
      <c r="S197" s="71">
        <f t="shared" si="92"/>
        <v>226412</v>
      </c>
      <c r="T197" s="71">
        <f t="shared" si="92"/>
        <v>31467.497000000003</v>
      </c>
      <c r="U197" s="71">
        <f t="shared" si="92"/>
        <v>701554</v>
      </c>
      <c r="V197" s="71">
        <f t="shared" si="92"/>
        <v>12429.822</v>
      </c>
      <c r="W197" s="71">
        <f t="shared" si="92"/>
        <v>227515</v>
      </c>
      <c r="X197" s="71">
        <f t="shared" si="92"/>
        <v>0</v>
      </c>
      <c r="Y197" s="71">
        <f t="shared" si="92"/>
        <v>0</v>
      </c>
      <c r="Z197" s="71">
        <f t="shared" si="92"/>
        <v>0</v>
      </c>
      <c r="AA197" s="71">
        <f t="shared" si="92"/>
        <v>0</v>
      </c>
      <c r="AB197" s="71">
        <f t="shared" si="92"/>
        <v>12429.822</v>
      </c>
      <c r="AC197" s="71">
        <f t="shared" si="92"/>
        <v>227515</v>
      </c>
      <c r="AD197" s="71">
        <f t="shared" si="92"/>
        <v>0</v>
      </c>
      <c r="AE197" s="71">
        <f t="shared" si="92"/>
        <v>0</v>
      </c>
      <c r="AF197" s="71">
        <f t="shared" si="92"/>
        <v>0</v>
      </c>
      <c r="AG197" s="71">
        <f t="shared" si="92"/>
        <v>0</v>
      </c>
      <c r="AH197" s="71">
        <f t="shared" si="92"/>
        <v>0</v>
      </c>
      <c r="AI197" s="71">
        <f t="shared" si="92"/>
        <v>0</v>
      </c>
      <c r="AJ197" s="71">
        <f t="shared" si="92"/>
        <v>0</v>
      </c>
      <c r="AK197" s="71">
        <f t="shared" si="92"/>
        <v>0</v>
      </c>
      <c r="AL197" s="71">
        <f t="shared" si="92"/>
        <v>76104.865000000005</v>
      </c>
      <c r="AM197" s="71">
        <f t="shared" si="92"/>
        <v>1662253</v>
      </c>
      <c r="AN197" s="27">
        <v>149880</v>
      </c>
      <c r="AO197" s="27">
        <f>AN197/12*$AO$8</f>
        <v>49960</v>
      </c>
      <c r="AP197" s="28">
        <f>AL197/AO197</f>
        <v>1.5233159527622098</v>
      </c>
      <c r="AQ197" s="71"/>
      <c r="AV197" s="66"/>
    </row>
    <row r="198" spans="1:48" s="57" customFormat="1" ht="39" customHeight="1">
      <c r="A198" s="134">
        <f>+A195+1</f>
        <v>51</v>
      </c>
      <c r="B198" s="134" t="s">
        <v>164</v>
      </c>
      <c r="C198" s="134" t="s">
        <v>165</v>
      </c>
      <c r="D198" s="134" t="s">
        <v>166</v>
      </c>
      <c r="E198" s="82" t="s">
        <v>167</v>
      </c>
      <c r="F198" s="83">
        <v>1535.385</v>
      </c>
      <c r="G198" s="83">
        <v>34913</v>
      </c>
      <c r="H198" s="83">
        <v>1382.1690000000001</v>
      </c>
      <c r="I198" s="83">
        <v>39695</v>
      </c>
      <c r="J198" s="83">
        <v>1702.779</v>
      </c>
      <c r="K198" s="83">
        <v>40988</v>
      </c>
      <c r="L198" s="83">
        <f t="shared" ref="L198:M201" si="93">F198+H198+J198</f>
        <v>4620.3330000000005</v>
      </c>
      <c r="M198" s="83">
        <f t="shared" si="93"/>
        <v>115596</v>
      </c>
      <c r="N198" s="83">
        <v>1817.8630000000001</v>
      </c>
      <c r="O198" s="89">
        <v>43669</v>
      </c>
      <c r="P198" s="83">
        <v>1628.9580000000001</v>
      </c>
      <c r="Q198" s="83">
        <v>40213</v>
      </c>
      <c r="R198" s="83">
        <v>1760.703</v>
      </c>
      <c r="S198" s="89">
        <v>45993</v>
      </c>
      <c r="T198" s="83">
        <f t="shared" ref="T198:U201" si="94">N198+P198+R198</f>
        <v>5207.5239999999994</v>
      </c>
      <c r="U198" s="90">
        <f t="shared" si="94"/>
        <v>129875</v>
      </c>
      <c r="V198" s="83">
        <v>1766.241</v>
      </c>
      <c r="W198" s="89">
        <v>45811</v>
      </c>
      <c r="X198" s="83"/>
      <c r="Y198" s="89"/>
      <c r="Z198" s="83"/>
      <c r="AA198" s="89"/>
      <c r="AB198" s="83">
        <f t="shared" ref="AB198:AC201" si="95">V198+X198+Z198</f>
        <v>1766.241</v>
      </c>
      <c r="AC198" s="89">
        <f t="shared" si="95"/>
        <v>45811</v>
      </c>
      <c r="AD198" s="113"/>
      <c r="AE198" s="89"/>
      <c r="AF198" s="113"/>
      <c r="AG198" s="89"/>
      <c r="AH198" s="113"/>
      <c r="AI198" s="89"/>
      <c r="AJ198" s="83">
        <f t="shared" ref="AJ198:AK201" si="96">AD198+AF198+AH198</f>
        <v>0</v>
      </c>
      <c r="AK198" s="89">
        <f t="shared" si="96"/>
        <v>0</v>
      </c>
      <c r="AL198" s="91">
        <f t="shared" ref="AL198:AM201" si="97">L198+T198+AB198+AJ198</f>
        <v>11594.098</v>
      </c>
      <c r="AM198" s="91">
        <f t="shared" si="97"/>
        <v>291282</v>
      </c>
      <c r="AN198" s="136"/>
      <c r="AO198" s="139"/>
      <c r="AP198" s="142"/>
      <c r="AQ198" s="139"/>
      <c r="AV198" s="4"/>
    </row>
    <row r="199" spans="1:48" s="57" customFormat="1" ht="39" customHeight="1">
      <c r="A199" s="134"/>
      <c r="B199" s="134"/>
      <c r="C199" s="134"/>
      <c r="D199" s="134"/>
      <c r="E199" s="82" t="s">
        <v>168</v>
      </c>
      <c r="F199" s="83">
        <v>3668.5309999999999</v>
      </c>
      <c r="G199" s="83">
        <v>140383</v>
      </c>
      <c r="H199" s="83">
        <v>3469.8910000000001</v>
      </c>
      <c r="I199" s="83">
        <v>146866</v>
      </c>
      <c r="J199" s="114">
        <v>3157.4560000000001</v>
      </c>
      <c r="K199" s="83">
        <v>130810</v>
      </c>
      <c r="L199" s="83">
        <f t="shared" si="93"/>
        <v>10295.878000000001</v>
      </c>
      <c r="M199" s="83">
        <f t="shared" si="93"/>
        <v>418059</v>
      </c>
      <c r="N199" s="83">
        <v>3258.9639999999999</v>
      </c>
      <c r="O199" s="89">
        <v>133704</v>
      </c>
      <c r="P199" s="83">
        <v>3357.9050000000002</v>
      </c>
      <c r="Q199" s="83">
        <v>134273</v>
      </c>
      <c r="R199" s="83">
        <v>3631.1289999999999</v>
      </c>
      <c r="S199" s="89">
        <v>142021</v>
      </c>
      <c r="T199" s="83">
        <f t="shared" si="94"/>
        <v>10247.998</v>
      </c>
      <c r="U199" s="90">
        <f t="shared" si="94"/>
        <v>409998</v>
      </c>
      <c r="V199" s="83">
        <v>3900.9769999999999</v>
      </c>
      <c r="W199" s="89">
        <v>149845</v>
      </c>
      <c r="X199" s="83"/>
      <c r="Y199" s="89"/>
      <c r="Z199" s="83"/>
      <c r="AA199" s="89"/>
      <c r="AB199" s="83">
        <f t="shared" si="95"/>
        <v>3900.9769999999999</v>
      </c>
      <c r="AC199" s="89">
        <f t="shared" si="95"/>
        <v>149845</v>
      </c>
      <c r="AD199" s="113"/>
      <c r="AE199" s="89"/>
      <c r="AF199" s="113"/>
      <c r="AG199" s="89"/>
      <c r="AH199" s="113"/>
      <c r="AI199" s="89"/>
      <c r="AJ199" s="83">
        <f t="shared" si="96"/>
        <v>0</v>
      </c>
      <c r="AK199" s="89">
        <f t="shared" si="96"/>
        <v>0</v>
      </c>
      <c r="AL199" s="91">
        <f t="shared" si="97"/>
        <v>24444.852999999999</v>
      </c>
      <c r="AM199" s="91">
        <f t="shared" si="97"/>
        <v>977902</v>
      </c>
      <c r="AN199" s="137"/>
      <c r="AO199" s="140"/>
      <c r="AP199" s="143"/>
      <c r="AQ199" s="140"/>
      <c r="AV199" s="4"/>
    </row>
    <row r="200" spans="1:48" s="57" customFormat="1" ht="39" customHeight="1">
      <c r="A200" s="134"/>
      <c r="B200" s="134"/>
      <c r="C200" s="134"/>
      <c r="D200" s="134"/>
      <c r="E200" s="82" t="s">
        <v>169</v>
      </c>
      <c r="F200" s="83">
        <v>869.90899999999999</v>
      </c>
      <c r="G200" s="83">
        <v>17759</v>
      </c>
      <c r="H200" s="83">
        <v>702.327</v>
      </c>
      <c r="I200" s="83">
        <v>18955</v>
      </c>
      <c r="J200" s="83">
        <v>962.76800000000003</v>
      </c>
      <c r="K200" s="83">
        <v>20123</v>
      </c>
      <c r="L200" s="83">
        <f t="shared" si="93"/>
        <v>2535.0039999999999</v>
      </c>
      <c r="M200" s="83">
        <f t="shared" si="93"/>
        <v>56837</v>
      </c>
      <c r="N200" s="83">
        <v>881.96900000000005</v>
      </c>
      <c r="O200" s="89">
        <v>20673</v>
      </c>
      <c r="P200" s="83">
        <v>735.95</v>
      </c>
      <c r="Q200" s="89">
        <v>17027</v>
      </c>
      <c r="R200" s="83">
        <v>846.178</v>
      </c>
      <c r="S200" s="89">
        <v>21225</v>
      </c>
      <c r="T200" s="83">
        <f t="shared" si="94"/>
        <v>2464.0970000000002</v>
      </c>
      <c r="U200" s="90">
        <f t="shared" si="94"/>
        <v>58925</v>
      </c>
      <c r="V200" s="83">
        <v>756.26599999999996</v>
      </c>
      <c r="W200" s="89">
        <v>18667</v>
      </c>
      <c r="X200" s="83"/>
      <c r="Y200" s="89"/>
      <c r="Z200" s="83"/>
      <c r="AA200" s="89"/>
      <c r="AB200" s="83">
        <f t="shared" si="95"/>
        <v>756.26599999999996</v>
      </c>
      <c r="AC200" s="89">
        <f t="shared" si="95"/>
        <v>18667</v>
      </c>
      <c r="AD200" s="113"/>
      <c r="AE200" s="89"/>
      <c r="AF200" s="113"/>
      <c r="AG200" s="89"/>
      <c r="AH200" s="113"/>
      <c r="AI200" s="89"/>
      <c r="AJ200" s="83">
        <f t="shared" si="96"/>
        <v>0</v>
      </c>
      <c r="AK200" s="89">
        <f t="shared" si="96"/>
        <v>0</v>
      </c>
      <c r="AL200" s="91">
        <f t="shared" si="97"/>
        <v>5755.3670000000002</v>
      </c>
      <c r="AM200" s="91">
        <f t="shared" si="97"/>
        <v>134429</v>
      </c>
      <c r="AN200" s="137"/>
      <c r="AO200" s="140"/>
      <c r="AP200" s="143"/>
      <c r="AQ200" s="140"/>
      <c r="AV200" s="4"/>
    </row>
    <row r="201" spans="1:48" s="57" customFormat="1" ht="39" customHeight="1">
      <c r="A201" s="134"/>
      <c r="B201" s="134"/>
      <c r="C201" s="134"/>
      <c r="D201" s="134"/>
      <c r="E201" s="82" t="s">
        <v>170</v>
      </c>
      <c r="F201" s="83">
        <v>2143.0439999999999</v>
      </c>
      <c r="G201" s="83">
        <v>76413</v>
      </c>
      <c r="H201" s="83">
        <v>1871.7750000000001</v>
      </c>
      <c r="I201" s="83">
        <v>69982</v>
      </c>
      <c r="J201" s="83">
        <v>2602.6909999999998</v>
      </c>
      <c r="K201" s="83">
        <v>82738</v>
      </c>
      <c r="L201" s="83">
        <f t="shared" si="93"/>
        <v>6617.51</v>
      </c>
      <c r="M201" s="83">
        <f t="shared" si="93"/>
        <v>229133</v>
      </c>
      <c r="N201" s="83">
        <v>2550.4490000000001</v>
      </c>
      <c r="O201" s="89">
        <v>85055</v>
      </c>
      <c r="P201" s="83">
        <v>2474.9830000000002</v>
      </c>
      <c r="Q201" s="89">
        <v>79624</v>
      </c>
      <c r="R201" s="83">
        <v>2569.3910000000001</v>
      </c>
      <c r="S201" s="89">
        <v>84012</v>
      </c>
      <c r="T201" s="83">
        <f t="shared" si="94"/>
        <v>7594.8230000000003</v>
      </c>
      <c r="U201" s="90">
        <f t="shared" si="94"/>
        <v>248691</v>
      </c>
      <c r="V201" s="83">
        <v>2344.2939999999999</v>
      </c>
      <c r="W201" s="89">
        <v>78676</v>
      </c>
      <c r="X201" s="83"/>
      <c r="Y201" s="89"/>
      <c r="Z201" s="83"/>
      <c r="AA201" s="89"/>
      <c r="AB201" s="83">
        <f t="shared" si="95"/>
        <v>2344.2939999999999</v>
      </c>
      <c r="AC201" s="89">
        <f t="shared" si="95"/>
        <v>78676</v>
      </c>
      <c r="AD201" s="83"/>
      <c r="AE201" s="89"/>
      <c r="AF201" s="83"/>
      <c r="AG201" s="89"/>
      <c r="AH201" s="83"/>
      <c r="AI201" s="89"/>
      <c r="AJ201" s="83">
        <f t="shared" si="96"/>
        <v>0</v>
      </c>
      <c r="AK201" s="89">
        <f t="shared" si="96"/>
        <v>0</v>
      </c>
      <c r="AL201" s="91">
        <f t="shared" si="97"/>
        <v>16556.627</v>
      </c>
      <c r="AM201" s="91">
        <f t="shared" si="97"/>
        <v>556500</v>
      </c>
      <c r="AN201" s="138"/>
      <c r="AO201" s="141"/>
      <c r="AP201" s="144"/>
      <c r="AQ201" s="141"/>
      <c r="AV201" s="4"/>
    </row>
    <row r="202" spans="1:48" s="63" customFormat="1" ht="16.5" customHeight="1">
      <c r="A202" s="135"/>
      <c r="B202" s="135"/>
      <c r="C202" s="59" t="s">
        <v>37</v>
      </c>
      <c r="D202" s="59"/>
      <c r="E202" s="62"/>
      <c r="F202" s="62">
        <f t="shared" ref="F202:AM202" si="98">SUM(F198:F201)</f>
        <v>8216.8689999999988</v>
      </c>
      <c r="G202" s="62">
        <f t="shared" si="98"/>
        <v>269468</v>
      </c>
      <c r="H202" s="62">
        <f t="shared" si="98"/>
        <v>7426.1620000000003</v>
      </c>
      <c r="I202" s="62">
        <f t="shared" si="98"/>
        <v>275498</v>
      </c>
      <c r="J202" s="62">
        <f t="shared" si="98"/>
        <v>8425.6939999999995</v>
      </c>
      <c r="K202" s="62">
        <f>SUM(K198:K201)</f>
        <v>274659</v>
      </c>
      <c r="L202" s="62">
        <f t="shared" si="98"/>
        <v>24068.724999999999</v>
      </c>
      <c r="M202" s="62">
        <f t="shared" si="98"/>
        <v>819625</v>
      </c>
      <c r="N202" s="62">
        <f t="shared" si="98"/>
        <v>8509.2450000000008</v>
      </c>
      <c r="O202" s="62">
        <f t="shared" si="98"/>
        <v>283101</v>
      </c>
      <c r="P202" s="62">
        <f t="shared" si="98"/>
        <v>8197.7960000000003</v>
      </c>
      <c r="Q202" s="62">
        <f t="shared" si="98"/>
        <v>271137</v>
      </c>
      <c r="R202" s="62">
        <f t="shared" si="98"/>
        <v>8807.4009999999998</v>
      </c>
      <c r="S202" s="62">
        <f t="shared" si="98"/>
        <v>293251</v>
      </c>
      <c r="T202" s="62">
        <f>SUM(T198:T201)</f>
        <v>25514.441999999999</v>
      </c>
      <c r="U202" s="62">
        <f>SUM(U198:U201)</f>
        <v>847489</v>
      </c>
      <c r="V202" s="62">
        <f t="shared" si="98"/>
        <v>8767.7779999999984</v>
      </c>
      <c r="W202" s="62">
        <f t="shared" si="98"/>
        <v>292999</v>
      </c>
      <c r="X202" s="62">
        <f t="shared" si="98"/>
        <v>0</v>
      </c>
      <c r="Y202" s="62">
        <f t="shared" si="98"/>
        <v>0</v>
      </c>
      <c r="Z202" s="62">
        <f t="shared" si="98"/>
        <v>0</v>
      </c>
      <c r="AA202" s="62">
        <f t="shared" si="98"/>
        <v>0</v>
      </c>
      <c r="AB202" s="62">
        <f t="shared" si="98"/>
        <v>8767.7779999999984</v>
      </c>
      <c r="AC202" s="62">
        <f t="shared" si="98"/>
        <v>292999</v>
      </c>
      <c r="AD202" s="62">
        <f t="shared" si="98"/>
        <v>0</v>
      </c>
      <c r="AE202" s="62">
        <f t="shared" si="98"/>
        <v>0</v>
      </c>
      <c r="AF202" s="62">
        <f t="shared" si="98"/>
        <v>0</v>
      </c>
      <c r="AG202" s="62">
        <f t="shared" si="98"/>
        <v>0</v>
      </c>
      <c r="AH202" s="62">
        <f t="shared" si="98"/>
        <v>0</v>
      </c>
      <c r="AI202" s="62">
        <f t="shared" si="98"/>
        <v>0</v>
      </c>
      <c r="AJ202" s="62">
        <f t="shared" si="98"/>
        <v>0</v>
      </c>
      <c r="AK202" s="62">
        <f t="shared" si="98"/>
        <v>0</v>
      </c>
      <c r="AL202" s="62">
        <f t="shared" si="98"/>
        <v>58350.945</v>
      </c>
      <c r="AM202" s="62">
        <f t="shared" si="98"/>
        <v>1960113</v>
      </c>
      <c r="AN202" s="27">
        <v>117810</v>
      </c>
      <c r="AO202" s="27">
        <f>AN202/12*$AO$8</f>
        <v>39270</v>
      </c>
      <c r="AP202" s="28">
        <f>AL202/AO202</f>
        <v>1.4858911382734912</v>
      </c>
      <c r="AQ202" s="62"/>
      <c r="AV202" s="30"/>
    </row>
    <row r="203" spans="1:48" s="63" customFormat="1" ht="16.5" customHeight="1">
      <c r="A203" s="120"/>
      <c r="B203" s="120"/>
      <c r="C203" s="122" t="s">
        <v>174</v>
      </c>
      <c r="D203" s="59"/>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27"/>
      <c r="AO203" s="27"/>
      <c r="AP203" s="28"/>
      <c r="AQ203" s="62"/>
      <c r="AV203" s="30"/>
    </row>
    <row r="204" spans="1:48" ht="30" customHeight="1">
      <c r="A204" s="129">
        <v>52</v>
      </c>
      <c r="B204" s="129">
        <v>58</v>
      </c>
      <c r="C204" s="151" t="s">
        <v>175</v>
      </c>
      <c r="D204" s="151" t="s">
        <v>176</v>
      </c>
      <c r="E204" s="123" t="s">
        <v>35</v>
      </c>
      <c r="F204" s="83">
        <v>0</v>
      </c>
      <c r="G204" s="83">
        <v>0</v>
      </c>
      <c r="H204" s="83">
        <v>0</v>
      </c>
      <c r="I204" s="83">
        <v>0</v>
      </c>
      <c r="J204" s="83">
        <v>0</v>
      </c>
      <c r="K204" s="83">
        <v>0</v>
      </c>
      <c r="L204" s="83">
        <f t="shared" ref="L204:L205" si="99">F204+H204+J204</f>
        <v>0</v>
      </c>
      <c r="M204" s="83">
        <f t="shared" ref="M204:M205" si="100">G204+I204+K204</f>
        <v>0</v>
      </c>
      <c r="N204" s="83">
        <v>0</v>
      </c>
      <c r="O204" s="83">
        <v>0</v>
      </c>
      <c r="P204" s="83">
        <v>0</v>
      </c>
      <c r="Q204" s="83">
        <v>0</v>
      </c>
      <c r="R204" s="83">
        <v>0</v>
      </c>
      <c r="S204" s="83">
        <v>0</v>
      </c>
      <c r="T204" s="83">
        <f t="shared" ref="T204:T205" si="101">N204+P204+R204</f>
        <v>0</v>
      </c>
      <c r="U204" s="47">
        <f t="shared" ref="U204:U205" si="102">O204+Q204+S204</f>
        <v>0</v>
      </c>
      <c r="V204" s="83">
        <v>0</v>
      </c>
      <c r="W204" s="89">
        <v>0</v>
      </c>
      <c r="X204" s="83"/>
      <c r="Y204" s="89"/>
      <c r="Z204" s="83"/>
      <c r="AA204" s="89"/>
      <c r="AB204" s="83">
        <f t="shared" ref="AB204:AB205" si="103">V204+X204+Z204</f>
        <v>0</v>
      </c>
      <c r="AC204" s="89">
        <f t="shared" ref="AC204:AC205" si="104">W204+Y204+AA204</f>
        <v>0</v>
      </c>
      <c r="AD204" s="113"/>
      <c r="AE204" s="89"/>
      <c r="AF204" s="113"/>
      <c r="AG204" s="89"/>
      <c r="AH204" s="113"/>
      <c r="AI204" s="89"/>
      <c r="AJ204" s="83">
        <f t="shared" ref="AJ204:AJ205" si="105">AD204+AF204+AH204</f>
        <v>0</v>
      </c>
      <c r="AK204" s="89">
        <f t="shared" ref="AK204:AK205" si="106">AE204+AG204+AI204</f>
        <v>0</v>
      </c>
      <c r="AL204" s="89">
        <f t="shared" ref="AL204:AL205" si="107">L204+T204+AB204+AJ204</f>
        <v>0</v>
      </c>
      <c r="AM204" s="89">
        <f t="shared" ref="AM204:AM205" si="108">M204+U204+AC204+AK204</f>
        <v>0</v>
      </c>
      <c r="AN204" s="124"/>
      <c r="AO204" s="124"/>
      <c r="AP204" s="125"/>
      <c r="AQ204" s="126"/>
    </row>
    <row r="205" spans="1:48" ht="33.75" customHeight="1">
      <c r="A205" s="129"/>
      <c r="B205" s="129"/>
      <c r="C205" s="151"/>
      <c r="D205" s="151"/>
      <c r="E205" s="121" t="s">
        <v>36</v>
      </c>
      <c r="F205" s="83">
        <v>0</v>
      </c>
      <c r="G205" s="83">
        <v>0</v>
      </c>
      <c r="H205" s="83">
        <v>0</v>
      </c>
      <c r="I205" s="83">
        <v>0</v>
      </c>
      <c r="J205" s="83">
        <v>0</v>
      </c>
      <c r="K205" s="83">
        <v>0</v>
      </c>
      <c r="L205" s="83">
        <f t="shared" si="99"/>
        <v>0</v>
      </c>
      <c r="M205" s="83">
        <f t="shared" si="100"/>
        <v>0</v>
      </c>
      <c r="N205" s="83">
        <v>0</v>
      </c>
      <c r="O205" s="83">
        <v>0</v>
      </c>
      <c r="P205" s="83">
        <v>0</v>
      </c>
      <c r="Q205" s="83">
        <v>0</v>
      </c>
      <c r="R205" s="83">
        <v>0</v>
      </c>
      <c r="S205" s="83">
        <v>0</v>
      </c>
      <c r="T205" s="83">
        <f t="shared" si="101"/>
        <v>0</v>
      </c>
      <c r="U205" s="47">
        <f t="shared" si="102"/>
        <v>0</v>
      </c>
      <c r="V205" s="83">
        <v>48349.77</v>
      </c>
      <c r="W205" s="89">
        <v>287675</v>
      </c>
      <c r="X205" s="83"/>
      <c r="Y205" s="89"/>
      <c r="Z205" s="83"/>
      <c r="AA205" s="89"/>
      <c r="AB205" s="83">
        <f t="shared" si="103"/>
        <v>48349.77</v>
      </c>
      <c r="AC205" s="89">
        <f t="shared" si="104"/>
        <v>287675</v>
      </c>
      <c r="AD205" s="113"/>
      <c r="AE205" s="89"/>
      <c r="AF205" s="113"/>
      <c r="AG205" s="89"/>
      <c r="AH205" s="113"/>
      <c r="AI205" s="89"/>
      <c r="AJ205" s="83">
        <f t="shared" si="105"/>
        <v>0</v>
      </c>
      <c r="AK205" s="89">
        <f t="shared" si="106"/>
        <v>0</v>
      </c>
      <c r="AL205" s="89">
        <f t="shared" si="107"/>
        <v>48349.77</v>
      </c>
      <c r="AM205" s="89">
        <f t="shared" si="108"/>
        <v>287675</v>
      </c>
      <c r="AN205" s="127"/>
      <c r="AO205" s="27"/>
      <c r="AP205" s="28"/>
      <c r="AQ205" s="127"/>
    </row>
    <row r="206" spans="1:48" s="100" customFormat="1">
      <c r="A206" s="129"/>
      <c r="B206" s="129"/>
      <c r="C206" s="25" t="s">
        <v>37</v>
      </c>
      <c r="D206" s="24"/>
      <c r="E206" s="50"/>
      <c r="F206" s="71">
        <f t="shared" ref="F206:AM206" si="109">SUM(F204:F205)</f>
        <v>0</v>
      </c>
      <c r="G206" s="71">
        <f t="shared" si="109"/>
        <v>0</v>
      </c>
      <c r="H206" s="71">
        <f t="shared" si="109"/>
        <v>0</v>
      </c>
      <c r="I206" s="71">
        <f t="shared" si="109"/>
        <v>0</v>
      </c>
      <c r="J206" s="71">
        <f t="shared" si="109"/>
        <v>0</v>
      </c>
      <c r="K206" s="71">
        <f t="shared" si="109"/>
        <v>0</v>
      </c>
      <c r="L206" s="71">
        <f t="shared" si="109"/>
        <v>0</v>
      </c>
      <c r="M206" s="71">
        <f t="shared" si="109"/>
        <v>0</v>
      </c>
      <c r="N206" s="71">
        <f t="shared" si="109"/>
        <v>0</v>
      </c>
      <c r="O206" s="71">
        <f t="shared" si="109"/>
        <v>0</v>
      </c>
      <c r="P206" s="71">
        <f t="shared" si="109"/>
        <v>0</v>
      </c>
      <c r="Q206" s="71">
        <f t="shared" si="109"/>
        <v>0</v>
      </c>
      <c r="R206" s="71">
        <f t="shared" si="109"/>
        <v>0</v>
      </c>
      <c r="S206" s="71">
        <f t="shared" si="109"/>
        <v>0</v>
      </c>
      <c r="T206" s="71">
        <f t="shared" si="109"/>
        <v>0</v>
      </c>
      <c r="U206" s="71">
        <f t="shared" si="109"/>
        <v>0</v>
      </c>
      <c r="V206" s="71">
        <f t="shared" si="109"/>
        <v>48349.77</v>
      </c>
      <c r="W206" s="71">
        <f t="shared" si="109"/>
        <v>287675</v>
      </c>
      <c r="X206" s="71">
        <f t="shared" si="109"/>
        <v>0</v>
      </c>
      <c r="Y206" s="71">
        <f t="shared" si="109"/>
        <v>0</v>
      </c>
      <c r="Z206" s="71">
        <f t="shared" si="109"/>
        <v>0</v>
      </c>
      <c r="AA206" s="71">
        <f t="shared" si="109"/>
        <v>0</v>
      </c>
      <c r="AB206" s="71">
        <f t="shared" si="109"/>
        <v>48349.77</v>
      </c>
      <c r="AC206" s="71">
        <f t="shared" si="109"/>
        <v>287675</v>
      </c>
      <c r="AD206" s="71">
        <f t="shared" si="109"/>
        <v>0</v>
      </c>
      <c r="AE206" s="71">
        <f t="shared" si="109"/>
        <v>0</v>
      </c>
      <c r="AF206" s="71">
        <f t="shared" si="109"/>
        <v>0</v>
      </c>
      <c r="AG206" s="71">
        <f t="shared" si="109"/>
        <v>0</v>
      </c>
      <c r="AH206" s="71">
        <f t="shared" si="109"/>
        <v>0</v>
      </c>
      <c r="AI206" s="71">
        <f t="shared" si="109"/>
        <v>0</v>
      </c>
      <c r="AJ206" s="71">
        <f t="shared" si="109"/>
        <v>0</v>
      </c>
      <c r="AK206" s="71">
        <f t="shared" si="109"/>
        <v>0</v>
      </c>
      <c r="AL206" s="71">
        <f t="shared" si="109"/>
        <v>48349.77</v>
      </c>
      <c r="AM206" s="71">
        <f t="shared" si="109"/>
        <v>287675</v>
      </c>
      <c r="AN206" s="27">
        <v>0</v>
      </c>
      <c r="AO206" s="27">
        <f>AN206/12*$AO$8</f>
        <v>0</v>
      </c>
      <c r="AP206" s="28" t="e">
        <f>AL206/AO206</f>
        <v>#DIV/0!</v>
      </c>
      <c r="AQ206" s="71"/>
      <c r="AV206" s="66"/>
    </row>
    <row r="207" spans="1:48">
      <c r="A207" s="128" t="s">
        <v>177</v>
      </c>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128"/>
      <c r="AI207" s="128"/>
      <c r="AJ207" s="128"/>
      <c r="AK207" s="128"/>
      <c r="AL207" s="128"/>
      <c r="AM207" s="128"/>
    </row>
    <row r="208" spans="1:48">
      <c r="P208" s="117"/>
    </row>
    <row r="209" spans="16:16">
      <c r="P209" s="117"/>
    </row>
  </sheetData>
  <mergeCells count="559">
    <mergeCell ref="A1:AM1"/>
    <mergeCell ref="A2:AM2"/>
    <mergeCell ref="A4:A7"/>
    <mergeCell ref="B4:B7"/>
    <mergeCell ref="C4:C7"/>
    <mergeCell ref="D4:D7"/>
    <mergeCell ref="E4:E7"/>
    <mergeCell ref="F4:AK4"/>
    <mergeCell ref="AL4:AM5"/>
    <mergeCell ref="R5:S5"/>
    <mergeCell ref="AD5:AE5"/>
    <mergeCell ref="W6:W7"/>
    <mergeCell ref="X6:X7"/>
    <mergeCell ref="M6:M7"/>
    <mergeCell ref="N6:N7"/>
    <mergeCell ref="O6:O7"/>
    <mergeCell ref="P6:P7"/>
    <mergeCell ref="Q6:Q7"/>
    <mergeCell ref="R6:R7"/>
    <mergeCell ref="AF5:AG5"/>
    <mergeCell ref="AK6:AK7"/>
    <mergeCell ref="AL6:AL7"/>
    <mergeCell ref="AM6:AM7"/>
    <mergeCell ref="AI6:AI7"/>
    <mergeCell ref="AN4:AN7"/>
    <mergeCell ref="AO4:AO7"/>
    <mergeCell ref="AP4:AP7"/>
    <mergeCell ref="AQ4:AQ7"/>
    <mergeCell ref="F5:G5"/>
    <mergeCell ref="H5:I5"/>
    <mergeCell ref="J5:K5"/>
    <mergeCell ref="L5:M5"/>
    <mergeCell ref="N5:O5"/>
    <mergeCell ref="P5:Q5"/>
    <mergeCell ref="AH5:AI5"/>
    <mergeCell ref="AJ5:AK5"/>
    <mergeCell ref="F6:F7"/>
    <mergeCell ref="G6:G7"/>
    <mergeCell ref="H6:H7"/>
    <mergeCell ref="I6:I7"/>
    <mergeCell ref="J6:J7"/>
    <mergeCell ref="K6:K7"/>
    <mergeCell ref="L6:L7"/>
    <mergeCell ref="T5:U5"/>
    <mergeCell ref="V5:W5"/>
    <mergeCell ref="X5:Y5"/>
    <mergeCell ref="Z5:AA5"/>
    <mergeCell ref="AB5:AC5"/>
    <mergeCell ref="A8:D8"/>
    <mergeCell ref="A10:A12"/>
    <mergeCell ref="B10:B11"/>
    <mergeCell ref="C10:C11"/>
    <mergeCell ref="D10:D11"/>
    <mergeCell ref="AE6:AE7"/>
    <mergeCell ref="AF6:AF7"/>
    <mergeCell ref="AG6:AG7"/>
    <mergeCell ref="AH6:AH7"/>
    <mergeCell ref="AJ6:AJ7"/>
    <mergeCell ref="Y6:Y7"/>
    <mergeCell ref="Z6:Z7"/>
    <mergeCell ref="AA6:AA7"/>
    <mergeCell ref="AB6:AB7"/>
    <mergeCell ref="AC6:AC7"/>
    <mergeCell ref="AD6:AD7"/>
    <mergeCell ref="S6:S7"/>
    <mergeCell ref="T6:T7"/>
    <mergeCell ref="U6:U7"/>
    <mergeCell ref="V6:V7"/>
    <mergeCell ref="AN10:AN11"/>
    <mergeCell ref="AO10:AO11"/>
    <mergeCell ref="AP10:AP11"/>
    <mergeCell ref="AQ10:AQ11"/>
    <mergeCell ref="A13:A15"/>
    <mergeCell ref="B13:B15"/>
    <mergeCell ref="C13:C14"/>
    <mergeCell ref="D13:D14"/>
    <mergeCell ref="AN13:AN14"/>
    <mergeCell ref="AO13:AO14"/>
    <mergeCell ref="AP13:AP14"/>
    <mergeCell ref="AQ13:AQ14"/>
    <mergeCell ref="AT13:AV15"/>
    <mergeCell ref="A16:A18"/>
    <mergeCell ref="B16:B18"/>
    <mergeCell ref="C16:C17"/>
    <mergeCell ref="D16:D17"/>
    <mergeCell ref="AN16:AN17"/>
    <mergeCell ref="AO16:AO17"/>
    <mergeCell ref="AP16:AP17"/>
    <mergeCell ref="AQ16:AQ17"/>
    <mergeCell ref="A19:A21"/>
    <mergeCell ref="B19:B21"/>
    <mergeCell ref="C19:C20"/>
    <mergeCell ref="D19:D20"/>
    <mergeCell ref="AN19:AN20"/>
    <mergeCell ref="AO19:AO20"/>
    <mergeCell ref="AP19:AP20"/>
    <mergeCell ref="AQ19:AQ20"/>
    <mergeCell ref="AP22:AP25"/>
    <mergeCell ref="AQ22:AQ24"/>
    <mergeCell ref="B24:B25"/>
    <mergeCell ref="D24:D25"/>
    <mergeCell ref="A27:A29"/>
    <mergeCell ref="B27:B29"/>
    <mergeCell ref="C27:C28"/>
    <mergeCell ref="D27:D28"/>
    <mergeCell ref="AN27:AN28"/>
    <mergeCell ref="AO27:AO28"/>
    <mergeCell ref="A22:A25"/>
    <mergeCell ref="B22:B23"/>
    <mergeCell ref="C22:C25"/>
    <mergeCell ref="D22:D23"/>
    <mergeCell ref="AN22:AN25"/>
    <mergeCell ref="AO22:AO25"/>
    <mergeCell ref="AG30:AG34"/>
    <mergeCell ref="K30:K34"/>
    <mergeCell ref="M30:M34"/>
    <mergeCell ref="O30:O34"/>
    <mergeCell ref="Q30:Q34"/>
    <mergeCell ref="S30:S34"/>
    <mergeCell ref="U30:U34"/>
    <mergeCell ref="A30:A32"/>
    <mergeCell ref="B30:B35"/>
    <mergeCell ref="C30:C31"/>
    <mergeCell ref="D30:D34"/>
    <mergeCell ref="G30:G34"/>
    <mergeCell ref="I30:I34"/>
    <mergeCell ref="A33:A35"/>
    <mergeCell ref="C33:C34"/>
    <mergeCell ref="AQ33:AQ34"/>
    <mergeCell ref="A36:A38"/>
    <mergeCell ref="B36:B41"/>
    <mergeCell ref="C36:C37"/>
    <mergeCell ref="D36:D40"/>
    <mergeCell ref="G36:G40"/>
    <mergeCell ref="I36:I40"/>
    <mergeCell ref="K36:K40"/>
    <mergeCell ref="M36:M40"/>
    <mergeCell ref="O36:O40"/>
    <mergeCell ref="AI30:AI34"/>
    <mergeCell ref="AK30:AK34"/>
    <mergeCell ref="AM30:AM34"/>
    <mergeCell ref="AN30:AN31"/>
    <mergeCell ref="AO30:AO31"/>
    <mergeCell ref="AP30:AP31"/>
    <mergeCell ref="AN33:AN34"/>
    <mergeCell ref="AO33:AO34"/>
    <mergeCell ref="AP33:AP34"/>
    <mergeCell ref="W30:W34"/>
    <mergeCell ref="Y30:Y34"/>
    <mergeCell ref="AA30:AA34"/>
    <mergeCell ref="AC30:AC34"/>
    <mergeCell ref="AE30:AE34"/>
    <mergeCell ref="AN36:AN37"/>
    <mergeCell ref="AO36:AO37"/>
    <mergeCell ref="AP36:AP37"/>
    <mergeCell ref="AQ36:AQ38"/>
    <mergeCell ref="A39:A40"/>
    <mergeCell ref="C39:C40"/>
    <mergeCell ref="AN39:AN40"/>
    <mergeCell ref="AO39:AO40"/>
    <mergeCell ref="AP39:AP40"/>
    <mergeCell ref="AQ39:AQ40"/>
    <mergeCell ref="AC36:AC40"/>
    <mergeCell ref="AE36:AE40"/>
    <mergeCell ref="AG36:AG40"/>
    <mergeCell ref="AI36:AI40"/>
    <mergeCell ref="AK36:AK40"/>
    <mergeCell ref="AM36:AM40"/>
    <mergeCell ref="Q36:Q40"/>
    <mergeCell ref="S36:S40"/>
    <mergeCell ref="U36:U40"/>
    <mergeCell ref="W36:W40"/>
    <mergeCell ref="Y36:Y40"/>
    <mergeCell ref="AA36:AA40"/>
    <mergeCell ref="AQ42:AQ43"/>
    <mergeCell ref="AW42:AW43"/>
    <mergeCell ref="A47:A49"/>
    <mergeCell ref="B47:B49"/>
    <mergeCell ref="C47:C48"/>
    <mergeCell ref="D47:D48"/>
    <mergeCell ref="AN47:AN48"/>
    <mergeCell ref="AO47:AO48"/>
    <mergeCell ref="AP47:AP48"/>
    <mergeCell ref="AQ47:AQ48"/>
    <mergeCell ref="K42:K43"/>
    <mergeCell ref="M42:M43"/>
    <mergeCell ref="AM42:AM43"/>
    <mergeCell ref="AN42:AN43"/>
    <mergeCell ref="AO42:AO43"/>
    <mergeCell ref="AP42:AP43"/>
    <mergeCell ref="A42:A46"/>
    <mergeCell ref="B42:B46"/>
    <mergeCell ref="C42:C43"/>
    <mergeCell ref="D42:D43"/>
    <mergeCell ref="G42:G43"/>
    <mergeCell ref="I42:I43"/>
    <mergeCell ref="AP50:AP51"/>
    <mergeCell ref="AQ50:AQ51"/>
    <mergeCell ref="A53:A55"/>
    <mergeCell ref="B53:B55"/>
    <mergeCell ref="C53:C54"/>
    <mergeCell ref="D53:D54"/>
    <mergeCell ref="AN53:AN54"/>
    <mergeCell ref="AO53:AO54"/>
    <mergeCell ref="AP53:AP54"/>
    <mergeCell ref="AQ53:AQ54"/>
    <mergeCell ref="A50:A52"/>
    <mergeCell ref="B50:B52"/>
    <mergeCell ref="C50:C51"/>
    <mergeCell ref="D50:D51"/>
    <mergeCell ref="AN50:AN51"/>
    <mergeCell ref="AO50:AO51"/>
    <mergeCell ref="AP56:AP57"/>
    <mergeCell ref="AQ56:AQ57"/>
    <mergeCell ref="A59:A61"/>
    <mergeCell ref="B59:B61"/>
    <mergeCell ref="C59:C60"/>
    <mergeCell ref="D59:D60"/>
    <mergeCell ref="AN59:AN60"/>
    <mergeCell ref="AO59:AO60"/>
    <mergeCell ref="AP59:AP60"/>
    <mergeCell ref="AQ59:AQ60"/>
    <mergeCell ref="A56:A58"/>
    <mergeCell ref="B56:B58"/>
    <mergeCell ref="C56:C57"/>
    <mergeCell ref="D56:D57"/>
    <mergeCell ref="AN56:AN57"/>
    <mergeCell ref="AO56:AO57"/>
    <mergeCell ref="AP62:AP63"/>
    <mergeCell ref="A62:A69"/>
    <mergeCell ref="AQ62:AQ68"/>
    <mergeCell ref="B64:B65"/>
    <mergeCell ref="D64:D65"/>
    <mergeCell ref="AN64:AN65"/>
    <mergeCell ref="AO64:AO65"/>
    <mergeCell ref="AP64:AP65"/>
    <mergeCell ref="B66:B67"/>
    <mergeCell ref="D66:D67"/>
    <mergeCell ref="AN66:AN67"/>
    <mergeCell ref="B62:B63"/>
    <mergeCell ref="C62:C67"/>
    <mergeCell ref="D62:D63"/>
    <mergeCell ref="AN62:AN63"/>
    <mergeCell ref="AO62:AO63"/>
    <mergeCell ref="AO66:AO67"/>
    <mergeCell ref="AP66:AP67"/>
    <mergeCell ref="AQ70:AQ71"/>
    <mergeCell ref="A73:A75"/>
    <mergeCell ref="B73:B75"/>
    <mergeCell ref="C73:C74"/>
    <mergeCell ref="D73:D74"/>
    <mergeCell ref="AN73:AN74"/>
    <mergeCell ref="AO73:AO74"/>
    <mergeCell ref="AP73:AP74"/>
    <mergeCell ref="AQ73:AQ74"/>
    <mergeCell ref="A70:A72"/>
    <mergeCell ref="B70:B72"/>
    <mergeCell ref="C70:C71"/>
    <mergeCell ref="D70:D71"/>
    <mergeCell ref="AN70:AN71"/>
    <mergeCell ref="AO70:AO71"/>
    <mergeCell ref="AP70:AP71"/>
    <mergeCell ref="X76:X77"/>
    <mergeCell ref="Y76:Y77"/>
    <mergeCell ref="Z76:Z77"/>
    <mergeCell ref="AA76:AA77"/>
    <mergeCell ref="A76:A77"/>
    <mergeCell ref="B76:B78"/>
    <mergeCell ref="C76:C77"/>
    <mergeCell ref="D76:D78"/>
    <mergeCell ref="AJ76:AJ77"/>
    <mergeCell ref="AK76:AK77"/>
    <mergeCell ref="AN76:AN77"/>
    <mergeCell ref="AO76:AO77"/>
    <mergeCell ref="AP76:AP77"/>
    <mergeCell ref="AQ76:AQ77"/>
    <mergeCell ref="AD76:AD77"/>
    <mergeCell ref="AE76:AE77"/>
    <mergeCell ref="AF76:AF77"/>
    <mergeCell ref="AG76:AG77"/>
    <mergeCell ref="AH76:AH77"/>
    <mergeCell ref="AI76:AI77"/>
    <mergeCell ref="AP79:AP80"/>
    <mergeCell ref="AQ79:AQ80"/>
    <mergeCell ref="A82:A84"/>
    <mergeCell ref="B82:B84"/>
    <mergeCell ref="C82:C83"/>
    <mergeCell ref="D82:D83"/>
    <mergeCell ref="AN82:AN83"/>
    <mergeCell ref="AO82:AO83"/>
    <mergeCell ref="AP82:AP83"/>
    <mergeCell ref="AQ82:AQ83"/>
    <mergeCell ref="A79:A81"/>
    <mergeCell ref="B79:B81"/>
    <mergeCell ref="C79:C80"/>
    <mergeCell ref="D79:D80"/>
    <mergeCell ref="AN79:AN80"/>
    <mergeCell ref="AO79:AO80"/>
    <mergeCell ref="AP85:AP86"/>
    <mergeCell ref="AQ85:AQ86"/>
    <mergeCell ref="A88:A92"/>
    <mergeCell ref="B88:B89"/>
    <mergeCell ref="C88:C91"/>
    <mergeCell ref="D88:D89"/>
    <mergeCell ref="AN88:AN89"/>
    <mergeCell ref="AO88:AO89"/>
    <mergeCell ref="AP88:AP89"/>
    <mergeCell ref="AQ88:AQ91"/>
    <mergeCell ref="A85:A87"/>
    <mergeCell ref="B85:B87"/>
    <mergeCell ref="C85:C86"/>
    <mergeCell ref="D85:D86"/>
    <mergeCell ref="AN85:AN86"/>
    <mergeCell ref="AO85:AO86"/>
    <mergeCell ref="B90:B92"/>
    <mergeCell ref="D90:D91"/>
    <mergeCell ref="AN90:AN91"/>
    <mergeCell ref="AO90:AO91"/>
    <mergeCell ref="AP90:AP91"/>
    <mergeCell ref="A93:A95"/>
    <mergeCell ref="B93:B95"/>
    <mergeCell ref="C93:C94"/>
    <mergeCell ref="D93:D94"/>
    <mergeCell ref="AN93:AN94"/>
    <mergeCell ref="AO93:AO94"/>
    <mergeCell ref="AP96:AP97"/>
    <mergeCell ref="AQ96:AQ97"/>
    <mergeCell ref="A99:A101"/>
    <mergeCell ref="B99:B101"/>
    <mergeCell ref="C99:C100"/>
    <mergeCell ref="D99:D100"/>
    <mergeCell ref="AN99:AN100"/>
    <mergeCell ref="AO99:AO100"/>
    <mergeCell ref="AP99:AP100"/>
    <mergeCell ref="AQ99:AQ100"/>
    <mergeCell ref="A96:A98"/>
    <mergeCell ref="B96:B98"/>
    <mergeCell ref="C96:C97"/>
    <mergeCell ref="D96:D97"/>
    <mergeCell ref="AN96:AN97"/>
    <mergeCell ref="AO96:AO97"/>
    <mergeCell ref="AP103:AP104"/>
    <mergeCell ref="AQ103:AQ104"/>
    <mergeCell ref="A106:A108"/>
    <mergeCell ref="B106:B108"/>
    <mergeCell ref="C106:C107"/>
    <mergeCell ref="D106:D107"/>
    <mergeCell ref="AN106:AN107"/>
    <mergeCell ref="AO106:AO107"/>
    <mergeCell ref="AP106:AP107"/>
    <mergeCell ref="AQ106:AQ107"/>
    <mergeCell ref="A103:A105"/>
    <mergeCell ref="B103:B105"/>
    <mergeCell ref="C103:C104"/>
    <mergeCell ref="D103:D104"/>
    <mergeCell ref="AN103:AN104"/>
    <mergeCell ref="AO103:AO104"/>
    <mergeCell ref="A113:A115"/>
    <mergeCell ref="B113:B115"/>
    <mergeCell ref="C113:C114"/>
    <mergeCell ref="D113:D114"/>
    <mergeCell ref="AN113:AN114"/>
    <mergeCell ref="AO113:AO114"/>
    <mergeCell ref="A109:A111"/>
    <mergeCell ref="B109:B111"/>
    <mergeCell ref="C109:C110"/>
    <mergeCell ref="D109:D110"/>
    <mergeCell ref="AN109:AN110"/>
    <mergeCell ref="AO109:AO110"/>
    <mergeCell ref="AP109:AP110"/>
    <mergeCell ref="AP117:AP122"/>
    <mergeCell ref="AQ117:AQ122"/>
    <mergeCell ref="B119:B120"/>
    <mergeCell ref="D119:D120"/>
    <mergeCell ref="Y119:Y120"/>
    <mergeCell ref="Y117:Y118"/>
    <mergeCell ref="AA117:AA118"/>
    <mergeCell ref="AE117:AE118"/>
    <mergeCell ref="AG117:AG118"/>
    <mergeCell ref="AI117:AI118"/>
    <mergeCell ref="AA119:AA120"/>
    <mergeCell ref="AE119:AE120"/>
    <mergeCell ref="AG119:AG120"/>
    <mergeCell ref="AI119:AI120"/>
    <mergeCell ref="AK119:AK120"/>
    <mergeCell ref="AK117:AK118"/>
    <mergeCell ref="AN117:AN122"/>
    <mergeCell ref="AQ109:AQ110"/>
    <mergeCell ref="AO117:AO122"/>
    <mergeCell ref="AP125:AP126"/>
    <mergeCell ref="AQ125:AQ126"/>
    <mergeCell ref="A128:A130"/>
    <mergeCell ref="B128:B130"/>
    <mergeCell ref="C128:C129"/>
    <mergeCell ref="D128:D129"/>
    <mergeCell ref="AN128:AN129"/>
    <mergeCell ref="AO128:AO129"/>
    <mergeCell ref="AP128:AP129"/>
    <mergeCell ref="AQ128:AQ129"/>
    <mergeCell ref="A125:A127"/>
    <mergeCell ref="B125:B126"/>
    <mergeCell ref="C125:C126"/>
    <mergeCell ref="D125:D126"/>
    <mergeCell ref="AN125:AN126"/>
    <mergeCell ref="AO125:AO126"/>
    <mergeCell ref="A117:A123"/>
    <mergeCell ref="B117:B118"/>
    <mergeCell ref="C117:C122"/>
    <mergeCell ref="D117:D118"/>
    <mergeCell ref="B121:B122"/>
    <mergeCell ref="D121:D122"/>
    <mergeCell ref="B137:B138"/>
    <mergeCell ref="D137:D138"/>
    <mergeCell ref="A140:A142"/>
    <mergeCell ref="B140:B142"/>
    <mergeCell ref="C140:C141"/>
    <mergeCell ref="D140:D141"/>
    <mergeCell ref="AP132:AP133"/>
    <mergeCell ref="AQ132:AQ133"/>
    <mergeCell ref="A135:A139"/>
    <mergeCell ref="B135:B136"/>
    <mergeCell ref="C135:C138"/>
    <mergeCell ref="D135:D136"/>
    <mergeCell ref="AN135:AN138"/>
    <mergeCell ref="AO135:AO138"/>
    <mergeCell ref="AP135:AP138"/>
    <mergeCell ref="AQ135:AQ138"/>
    <mergeCell ref="A132:A134"/>
    <mergeCell ref="B132:B133"/>
    <mergeCell ref="C132:C133"/>
    <mergeCell ref="D132:D133"/>
    <mergeCell ref="AN132:AN133"/>
    <mergeCell ref="AO132:AO133"/>
    <mergeCell ref="AN140:AN141"/>
    <mergeCell ref="AO140:AO141"/>
    <mergeCell ref="AP140:AP141"/>
    <mergeCell ref="AQ140:AQ141"/>
    <mergeCell ref="A143:A145"/>
    <mergeCell ref="B143:B145"/>
    <mergeCell ref="C143:C144"/>
    <mergeCell ref="D143:D144"/>
    <mergeCell ref="AN143:AN144"/>
    <mergeCell ref="AO143:AO144"/>
    <mergeCell ref="AP143:AP144"/>
    <mergeCell ref="AQ143:AQ144"/>
    <mergeCell ref="A147:A149"/>
    <mergeCell ref="B147:B149"/>
    <mergeCell ref="C147:C148"/>
    <mergeCell ref="D147:D148"/>
    <mergeCell ref="AN147:AN148"/>
    <mergeCell ref="AO147:AO148"/>
    <mergeCell ref="AP147:AP148"/>
    <mergeCell ref="AQ147:AQ148"/>
    <mergeCell ref="B156:B157"/>
    <mergeCell ref="D156:D157"/>
    <mergeCell ref="A160:A162"/>
    <mergeCell ref="B160:B162"/>
    <mergeCell ref="C160:C161"/>
    <mergeCell ref="D160:D161"/>
    <mergeCell ref="AP150:AP151"/>
    <mergeCell ref="AQ150:AQ151"/>
    <mergeCell ref="A154:A158"/>
    <mergeCell ref="B154:B155"/>
    <mergeCell ref="C154:C157"/>
    <mergeCell ref="D154:D155"/>
    <mergeCell ref="AN154:AN157"/>
    <mergeCell ref="AO154:AO157"/>
    <mergeCell ref="AP154:AP157"/>
    <mergeCell ref="AQ154:AQ157"/>
    <mergeCell ref="A150:A152"/>
    <mergeCell ref="B150:B152"/>
    <mergeCell ref="C150:C151"/>
    <mergeCell ref="D150:D151"/>
    <mergeCell ref="AN150:AN151"/>
    <mergeCell ref="AO150:AO151"/>
    <mergeCell ref="AN160:AN161"/>
    <mergeCell ref="AP160:AP161"/>
    <mergeCell ref="AQ160:AQ161"/>
    <mergeCell ref="A164:A166"/>
    <mergeCell ref="B164:B165"/>
    <mergeCell ref="C164:C165"/>
    <mergeCell ref="D164:D165"/>
    <mergeCell ref="AN164:AN165"/>
    <mergeCell ref="AO164:AO165"/>
    <mergeCell ref="AP164:AP165"/>
    <mergeCell ref="AQ164:AQ165"/>
    <mergeCell ref="A168:A170"/>
    <mergeCell ref="B168:B169"/>
    <mergeCell ref="C168:C169"/>
    <mergeCell ref="D168:D169"/>
    <mergeCell ref="AN168:AN169"/>
    <mergeCell ref="AO168:AO169"/>
    <mergeCell ref="AP168:AP169"/>
    <mergeCell ref="AQ168:AQ169"/>
    <mergeCell ref="AP171:AP172"/>
    <mergeCell ref="AQ171:AQ172"/>
    <mergeCell ref="A175:A177"/>
    <mergeCell ref="B175:B177"/>
    <mergeCell ref="C175:C176"/>
    <mergeCell ref="D175:D176"/>
    <mergeCell ref="AN175:AN176"/>
    <mergeCell ref="AO175:AO176"/>
    <mergeCell ref="AP175:AP176"/>
    <mergeCell ref="AQ175:AQ176"/>
    <mergeCell ref="A171:A173"/>
    <mergeCell ref="B171:B173"/>
    <mergeCell ref="C171:C172"/>
    <mergeCell ref="D171:D172"/>
    <mergeCell ref="AN171:AN172"/>
    <mergeCell ref="AO171:AO172"/>
    <mergeCell ref="AP179:AP180"/>
    <mergeCell ref="AQ179:AQ180"/>
    <mergeCell ref="A183:A185"/>
    <mergeCell ref="C183:C185"/>
    <mergeCell ref="E183:E185"/>
    <mergeCell ref="AN183:AN185"/>
    <mergeCell ref="AQ183:AQ185"/>
    <mergeCell ref="A179:A181"/>
    <mergeCell ref="B179:B181"/>
    <mergeCell ref="C179:C180"/>
    <mergeCell ref="D179:D180"/>
    <mergeCell ref="AN179:AN180"/>
    <mergeCell ref="AO179:AO180"/>
    <mergeCell ref="AP188:AP189"/>
    <mergeCell ref="AQ188:AQ189"/>
    <mergeCell ref="A191:A193"/>
    <mergeCell ref="B191:B193"/>
    <mergeCell ref="C191:C192"/>
    <mergeCell ref="D191:D192"/>
    <mergeCell ref="AN191:AN192"/>
    <mergeCell ref="AP191:AP192"/>
    <mergeCell ref="AQ191:AQ192"/>
    <mergeCell ref="A188:A190"/>
    <mergeCell ref="B188:B190"/>
    <mergeCell ref="C188:C189"/>
    <mergeCell ref="D188:D189"/>
    <mergeCell ref="AN188:AN189"/>
    <mergeCell ref="AO188:AO189"/>
    <mergeCell ref="A207:AM207"/>
    <mergeCell ref="A204:A206"/>
    <mergeCell ref="B204:B206"/>
    <mergeCell ref="AP195:AP196"/>
    <mergeCell ref="AQ195:AQ196"/>
    <mergeCell ref="A198:A202"/>
    <mergeCell ref="B198:B202"/>
    <mergeCell ref="C198:C201"/>
    <mergeCell ref="D198:D201"/>
    <mergeCell ref="AN198:AN201"/>
    <mergeCell ref="AO198:AO201"/>
    <mergeCell ref="AP198:AP201"/>
    <mergeCell ref="AQ198:AQ201"/>
    <mergeCell ref="A195:A197"/>
    <mergeCell ref="B195:B197"/>
    <mergeCell ref="C195:C196"/>
    <mergeCell ref="D195:D196"/>
    <mergeCell ref="AN195:AN196"/>
    <mergeCell ref="AO195:AO196"/>
    <mergeCell ref="C204:C205"/>
    <mergeCell ref="D204:D205"/>
  </mergeCells>
  <printOptions horizontalCentered="1"/>
  <pageMargins left="0.25" right="0.25" top="0.75" bottom="0.75" header="0.3" footer="0.3"/>
  <pageSetup paperSize="9" scale="40" fitToHeight="0" orientation="landscape" r:id="rId1"/>
  <headerFooter>
    <oddFooter>Page &amp;P</oddFooter>
  </headerFooter>
  <rowBreaks count="6" manualBreakCount="6">
    <brk id="41" max="38" man="1"/>
    <brk id="72" max="38" man="1"/>
    <brk id="101" max="38" man="1"/>
    <brk id="134" max="38" man="1"/>
    <brk id="162" max="38" man="1"/>
    <brk id="197" max="3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Năm 2024</vt:lpstr>
      <vt:lpstr>'Năm 2024'!Print_Area</vt:lpstr>
      <vt:lpstr>'Năm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 Linh</dc:creator>
  <cp:lastModifiedBy>Hoàng Nam Tăng</cp:lastModifiedBy>
  <cp:lastPrinted>2024-08-02T09:45:00Z</cp:lastPrinted>
  <dcterms:created xsi:type="dcterms:W3CDTF">2024-08-01T03:26:05Z</dcterms:created>
  <dcterms:modified xsi:type="dcterms:W3CDTF">2024-09-04T07:36:28Z</dcterms:modified>
</cp:coreProperties>
</file>